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15" windowWidth="11550" windowHeight="11250" tabRatio="732" activeTab="0"/>
  </bookViews>
  <sheets>
    <sheet name="Disclaimer" sheetId="1" r:id="rId1"/>
    <sheet name="User guide" sheetId="2" state="hidden" r:id="rId2"/>
    <sheet name="SFI details (0)" sheetId="3" state="hidden" r:id="rId3"/>
    <sheet name="Investment Details (1)" sheetId="4" state="hidden" r:id="rId4"/>
    <sheet name="Tax summary (2)" sheetId="5" state="hidden" r:id="rId5"/>
    <sheet name="Portfolio&amp;scenario analysis (3)" sheetId="6" state="hidden" r:id="rId6"/>
  </sheets>
  <externalReferences>
    <externalReference r:id="rId9"/>
  </externalReferences>
  <definedNames>
    <definedName name="Shift_Growth">'Portfolio&amp;scenario analysis (3)'!$G$11</definedName>
  </definedNames>
  <calcPr fullCalcOnLoad="1"/>
</workbook>
</file>

<file path=xl/sharedStrings.xml><?xml version="1.0" encoding="utf-8"?>
<sst xmlns="http://schemas.openxmlformats.org/spreadsheetml/2006/main" count="325" uniqueCount="202">
  <si>
    <t>ASX Code</t>
  </si>
  <si>
    <t>Underlying share price</t>
  </si>
  <si>
    <t>Loan Amount</t>
  </si>
  <si>
    <t>SFI price</t>
  </si>
  <si>
    <t>Next interest date</t>
  </si>
  <si>
    <t>Maturity date</t>
  </si>
  <si>
    <t>Number of days to expiry</t>
  </si>
  <si>
    <t>Interest rate</t>
  </si>
  <si>
    <t>Initial Interest Amount (IIA)</t>
  </si>
  <si>
    <t>Funding component of IIA</t>
  </si>
  <si>
    <t>Date of last update</t>
  </si>
  <si>
    <t>AMPSWG</t>
  </si>
  <si>
    <t>ANZSWG</t>
  </si>
  <si>
    <t>BHPSWG</t>
  </si>
  <si>
    <t>BSLSWG</t>
  </si>
  <si>
    <t>BXBSWG</t>
  </si>
  <si>
    <t>CBASWG</t>
  </si>
  <si>
    <t>CSLSWG</t>
  </si>
  <si>
    <t>CWNSWG</t>
  </si>
  <si>
    <t>FGLSWG</t>
  </si>
  <si>
    <t>IAGSWG</t>
  </si>
  <si>
    <t>ILCSWG</t>
  </si>
  <si>
    <t>IOZSWG</t>
  </si>
  <si>
    <t>LEISWG</t>
  </si>
  <si>
    <t>LLCSWG</t>
  </si>
  <si>
    <t>MQGSWG</t>
  </si>
  <si>
    <t>NABSWG</t>
  </si>
  <si>
    <t>NCMSWG</t>
  </si>
  <si>
    <t>NWSSWG</t>
  </si>
  <si>
    <t>ORGSWG</t>
  </si>
  <si>
    <t>QANSWG</t>
  </si>
  <si>
    <t>QBESWG</t>
  </si>
  <si>
    <t>RIOSWG</t>
  </si>
  <si>
    <t>SHLSWG</t>
  </si>
  <si>
    <t>STOSWG</t>
  </si>
  <si>
    <t>STWSWG</t>
  </si>
  <si>
    <t>SUNSWG</t>
  </si>
  <si>
    <t>TCLSWG</t>
  </si>
  <si>
    <t>TLSSWG</t>
  </si>
  <si>
    <t>TOLSWG</t>
  </si>
  <si>
    <t>WDCSWG</t>
  </si>
  <si>
    <t>WESSWG</t>
  </si>
  <si>
    <t>WOWSWG</t>
  </si>
  <si>
    <t>WPLSWG</t>
  </si>
  <si>
    <t>Number of days in interest period</t>
  </si>
  <si>
    <t>Protection component of IIA</t>
  </si>
  <si>
    <t>Protection component cost p.a.</t>
  </si>
  <si>
    <t>Dividend estimate</t>
  </si>
  <si>
    <t>FY 12/13</t>
  </si>
  <si>
    <t>FY 13/14</t>
  </si>
  <si>
    <t>FY 14/15</t>
  </si>
  <si>
    <t>FY 15/16</t>
  </si>
  <si>
    <t>FY 11/12</t>
  </si>
  <si>
    <t>Loan estimate at 30 June of that FY</t>
  </si>
  <si>
    <t>Prepaid interest estimate at 30 June of that FY</t>
  </si>
  <si>
    <t>Investor type</t>
  </si>
  <si>
    <t>Application type</t>
  </si>
  <si>
    <t>Marginal tax rate</t>
  </si>
  <si>
    <t>Franking level estimate</t>
  </si>
  <si>
    <t>Financial year ending 30/6/2012</t>
  </si>
  <si>
    <t>Cash dividend estimate</t>
  </si>
  <si>
    <t>Franking credit estimate</t>
  </si>
  <si>
    <t>Sub total for FY</t>
  </si>
  <si>
    <t>Financial year ending 30/6/2013</t>
  </si>
  <si>
    <t>Financial year ending 30/6/2014</t>
  </si>
  <si>
    <t>Financial year ending 30/6/2015</t>
  </si>
  <si>
    <t>Financial year ending 30/6/2016</t>
  </si>
  <si>
    <t>Total for term</t>
  </si>
  <si>
    <t>Forecast income</t>
  </si>
  <si>
    <t>Funding cost</t>
  </si>
  <si>
    <t>Protection cost</t>
  </si>
  <si>
    <t>Borrowing fee</t>
  </si>
  <si>
    <t>Taxable income</t>
  </si>
  <si>
    <t>Franking credits</t>
  </si>
  <si>
    <t>Notional put option cost base</t>
  </si>
  <si>
    <t>Second last dividend</t>
  </si>
  <si>
    <t>Last dividend</t>
  </si>
  <si>
    <t>Assumed dividend yield</t>
  </si>
  <si>
    <t>AMP</t>
  </si>
  <si>
    <t>ANZ</t>
  </si>
  <si>
    <t>BHP</t>
  </si>
  <si>
    <t>BXB</t>
  </si>
  <si>
    <t>CBA</t>
  </si>
  <si>
    <t>CSL</t>
  </si>
  <si>
    <t>CWN</t>
  </si>
  <si>
    <t>FGL</t>
  </si>
  <si>
    <t>IAG</t>
  </si>
  <si>
    <t>IOZ</t>
  </si>
  <si>
    <t>LEI</t>
  </si>
  <si>
    <t>LLC</t>
  </si>
  <si>
    <t>MQG</t>
  </si>
  <si>
    <t>NAB</t>
  </si>
  <si>
    <t>NCM</t>
  </si>
  <si>
    <t>NWS</t>
  </si>
  <si>
    <t>ORG</t>
  </si>
  <si>
    <t>QAN</t>
  </si>
  <si>
    <t>QBE</t>
  </si>
  <si>
    <t>RIO</t>
  </si>
  <si>
    <t>SHL</t>
  </si>
  <si>
    <t>STO</t>
  </si>
  <si>
    <t>SUN</t>
  </si>
  <si>
    <t>TCL</t>
  </si>
  <si>
    <t>TLS</t>
  </si>
  <si>
    <t>TOL</t>
  </si>
  <si>
    <t>WDC</t>
  </si>
  <si>
    <t>WES</t>
  </si>
  <si>
    <t>WOW</t>
  </si>
  <si>
    <t>WPL</t>
  </si>
  <si>
    <t>Security</t>
  </si>
  <si>
    <t>ExDate</t>
  </si>
  <si>
    <t>DivAmount</t>
  </si>
  <si>
    <t>Franking</t>
  </si>
  <si>
    <t>Security2</t>
  </si>
  <si>
    <t>ExDate2</t>
  </si>
  <si>
    <t>DivAmount2</t>
  </si>
  <si>
    <t>Franking2</t>
  </si>
  <si>
    <t>AGKSWG</t>
  </si>
  <si>
    <t>COHSWG</t>
  </si>
  <si>
    <t>CPUSWG</t>
  </si>
  <si>
    <t>IPLSWG</t>
  </si>
  <si>
    <t>ORISWG</t>
  </si>
  <si>
    <t>UGLSWG</t>
  </si>
  <si>
    <t>Underlying security</t>
  </si>
  <si>
    <t>AGK</t>
  </si>
  <si>
    <t>COH</t>
  </si>
  <si>
    <t>CPU</t>
  </si>
  <si>
    <t>IPL</t>
  </si>
  <si>
    <t>ORI</t>
  </si>
  <si>
    <t>UGL</t>
  </si>
  <si>
    <t>Franking rate</t>
  </si>
  <si>
    <t>Forecast income for term</t>
  </si>
  <si>
    <t>Forecast expenses for term</t>
  </si>
  <si>
    <t>Tax analysis for term</t>
  </si>
  <si>
    <t>SFI code</t>
  </si>
  <si>
    <t>Upfront commission rate</t>
  </si>
  <si>
    <t>Trailing commission rate</t>
  </si>
  <si>
    <t>Dividend yield p.a.</t>
  </si>
  <si>
    <t>Break down of initial purchase</t>
  </si>
  <si>
    <t>Number of SFIs purchased</t>
  </si>
  <si>
    <t>(A) Value of underlying shares</t>
  </si>
  <si>
    <t>(B) Total loan amount</t>
  </si>
  <si>
    <t>(C) Prepaid funding cost until 30 June 2012</t>
  </si>
  <si>
    <t>(D) Protection cost paid for the term</t>
  </si>
  <si>
    <t>Expected investment details at maturity</t>
  </si>
  <si>
    <t>SFI value (= A - B)</t>
  </si>
  <si>
    <t>Qty held</t>
  </si>
  <si>
    <t>Deductible interest cost</t>
  </si>
  <si>
    <t>Deductible borrowing fee</t>
  </si>
  <si>
    <t>Non-deductible interest cost (notional put option)</t>
  </si>
  <si>
    <t>Portfolio Simulation</t>
  </si>
  <si>
    <t>Growth simulation</t>
  </si>
  <si>
    <t>Dividend estimates simulation</t>
  </si>
  <si>
    <t>Interest simulation</t>
  </si>
  <si>
    <t>Increase or decrease in expected capital growth for the underlying security p.a.</t>
  </si>
  <si>
    <t>Increase or decrease in expected dividend yield</t>
  </si>
  <si>
    <t>Increase or decrease in expected headline interest rate (funding cost) p.a.</t>
  </si>
  <si>
    <t>Assumed share price growth</t>
  </si>
  <si>
    <t>Year end share price</t>
  </si>
  <si>
    <t>Cash</t>
  </si>
  <si>
    <t>Securityholder</t>
  </si>
  <si>
    <t>Individual</t>
  </si>
  <si>
    <t>Securityholder cash back</t>
  </si>
  <si>
    <t>SFI value (= A - B + C + D+ E)</t>
  </si>
  <si>
    <t>(E) Borrowing Fee</t>
  </si>
  <si>
    <t>Tax payable</t>
  </si>
  <si>
    <t>Net tax credit / (Net tax payable)</t>
  </si>
  <si>
    <t>Indicative prices as at:</t>
  </si>
  <si>
    <t>Before using the Calculator you must read and agree to the terms contained in the "Important information".</t>
  </si>
  <si>
    <t>Your access to this calculator is subject to the notices, disclaimers any other terms and conditions or other statements contained on this website, and the following additional terms and conditions for the Westpac SFI Calculator (referred to collectively as "Terms of Use "). By accessing, viewing or otherwise using this calculator, you agree to be subject to these Terms of Use.</t>
  </si>
  <si>
    <t>© 2011 Westpac Banking Corporation ABN 33 007 457 141</t>
  </si>
  <si>
    <t>This calculator is provided for illustrative purposes only and results are based on the accuracy of information provided. The calculations are based on variables selected by the user and a small change in assumptions can greatly affect the final results.</t>
  </si>
  <si>
    <t xml:space="preserve">While Westpac has made every effort to ensure that the information input into and calculations utilised by the calculator are free from error, Westpac does not warrant the accuracy, adequacy or completeness of either the information or the results generated by the calculator. </t>
  </si>
  <si>
    <t xml:space="preserve">Any assumptions shown in the calculator are not intended as an indication or a recommendation of the likely values of these parameters.  You should form your own view on these as necessary. </t>
  </si>
  <si>
    <t>Westpac is the issuer of Westpac Self-Funding Instalments (“Westpac SFI”).  A product disclosure statement (“PDS”) is available for Westpac SFI.  A copy of the Westpac SFI PDS and a copy of Westpac’s Financial Services Guide can be obtained by calling 1800 990 107 or visiting www.westpac.com.au/structuredinvestments. You should obtain and consider the PDS before deciding whether to acquire, continue to hold or dispose of Westpac SFI. The information has been prepared without taking account your objectives, financial situation or needs. Because of this you should, before acting on this information, consider its appropriateness having regard to your objectives, financial situation or needs.</t>
  </si>
  <si>
    <t>The information contained in this calculator and the results generated by it do not constitute financial, tax or legal advice, and do not take into account an investor’s objectives, financial situation or needs.</t>
  </si>
  <si>
    <t>By using this calculator, the user agrees to release Westpac and its related companies (together, the ‘Westpac Group’) from, and indemnifies each member of the Westpac Group against any liability or loss arising as a consequence of using the calculator. To the extent permitted by law, members of the Westpac Group give no warranty or representation as to the accuracy or reliability of the calculator or the results of using it. Neither the Westpac Group nor any of its employees or directors accepts any responsibility for any losses arising from the use of or reliance upon any outcomes or conclusions reached by using the calculator.</t>
  </si>
  <si>
    <t>This calculator is for use only by a financial adviser licensed to provide financial product advice in respect of this financial product. Westpac Banking Corporation ABN 33 007 457 141, AFSL 233714 (‘Westpac’) does not authorise the calculator or its results being used by, supplied to, or made accessible to, prospective clients.</t>
  </si>
  <si>
    <t>SMSF</t>
  </si>
  <si>
    <t>Current dividend yield</t>
  </si>
  <si>
    <t>Div yield current</t>
  </si>
  <si>
    <t>Div yield assumed</t>
  </si>
  <si>
    <t>Franking credits available to offset tax payable</t>
  </si>
  <si>
    <t>After tax income analysis</t>
  </si>
  <si>
    <t>Total for FY</t>
  </si>
  <si>
    <t>(Tax payable) / Tax credit</t>
  </si>
  <si>
    <r>
      <t xml:space="preserve">(After tax cost) / After tax benefit </t>
    </r>
    <r>
      <rPr>
        <i/>
        <sz val="8"/>
        <rFont val="Arial"/>
        <family val="2"/>
      </rPr>
      <t>NB: does not take into account CGT</t>
    </r>
  </si>
  <si>
    <t>Cash dividends less costs</t>
  </si>
  <si>
    <t>Forecast deductible expenses</t>
  </si>
  <si>
    <r>
      <t>Assumptions 
(*</t>
    </r>
    <r>
      <rPr>
        <b/>
        <i/>
        <sz val="10"/>
        <rFont val="Arial"/>
        <family val="2"/>
      </rPr>
      <t>overwrite to change</t>
    </r>
    <r>
      <rPr>
        <b/>
        <sz val="10"/>
        <rFont val="Arial"/>
        <family val="2"/>
      </rPr>
      <t>)</t>
    </r>
  </si>
  <si>
    <t>SFI headline interest rate (funding cost p.a.) *</t>
  </si>
  <si>
    <t>Benchmark rate applicable for determining interest deductibility *</t>
  </si>
  <si>
    <t>Share price growth p.a. *</t>
  </si>
  <si>
    <t>Investment</t>
  </si>
  <si>
    <t>Important Information – For adviser use only</t>
  </si>
  <si>
    <t>Please note that a new version of this calculator with updated pricing information will be released on a weekly basis. You can access the latest version at www.westpac.com.au/files/SFIcalculator</t>
  </si>
  <si>
    <t>The purpose of this calculator is to provide a breakdown of an initial investment in Westpac Self-Funding Instalments in the “Investment Details” sheet and a summary of the potential tax consequences of the proposed investment in the “Tax Summary” sheet.</t>
  </si>
  <si>
    <t>Investment Details (1)</t>
  </si>
  <si>
    <t>Please commence by choosing an SFI code to invest in, the application type, investment amount, commissions, and investor type.
In the assumptions section the SFI headline interest rate (funding cost p.a.), benchmark rate applicable for determining interest deductibility and share price growth p.a. can be changed.
The proposed dividend yield and franking rates are based on currently observed yields and rates.</t>
  </si>
  <si>
    <t>Tax summary (2)</t>
  </si>
  <si>
    <t>Please note that the non-deductible interest cost (notional put option) will effectively reduce future capital gains. This benefit is not taken into account in this analysis.</t>
  </si>
  <si>
    <t>There is no user input required in this section.</t>
  </si>
  <si>
    <t>Please refer to the Disclaimer section for the assumptions made for this tax summary.</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</si>
</sst>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0000"/>
    <numFmt numFmtId="166" formatCode="_-* #,##0.0_-;\-* #,##0.0_-;_-* &quot;-&quot;??_-;_-@_-"/>
    <numFmt numFmtId="167" formatCode="_-* #,##0_-;\-* #,##0_-;_-* &quot;-&quot;??_-;_-@_-"/>
    <numFmt numFmtId="168" formatCode="_-* #,##0.000_-;\-* #,##0.000_-;_-* &quot;-&quot;??_-;_-@_-"/>
    <numFmt numFmtId="169" formatCode="0.0%"/>
    <numFmt numFmtId="170" formatCode="[$-C09]dddd\,\ d\ mmmm\ yyyy"/>
    <numFmt numFmtId="171" formatCode="[$-C09]d\ mmmm\ yyyy;@"/>
    <numFmt numFmtId="172" formatCode="_-* #,##0.0000_-;\-* #,##0.0000_-;_-* &quot;-&quot;??_-;_-@_-"/>
    <numFmt numFmtId="173" formatCode="[$-C09]dd\-mmmm\-yyyy;@"/>
    <numFmt numFmtId="174" formatCode="d\-mmm\-yyyy"/>
    <numFmt numFmtId="175" formatCode="_-&quot;$&quot;* #,##0.0_-;\-&quot;$&quot;* #,##0.0_-;_-&quot;$&quot;* &quot;-&quot;??_-;_-@_-"/>
    <numFmt numFmtId="176" formatCode="_-&quot;$&quot;* #,##0_-;\-&quot;$&quot;* #,##0_-;_-&quot;$&quot;* &quot;-&quot;??_-;_-@_-"/>
    <numFmt numFmtId="177" formatCode="_-* #,##0.000_-;\-* #,##0.000_-;_-* &quot;-&quot;???_-;_-@_-"/>
    <numFmt numFmtId="178" formatCode="_-[$$-C09]* #,##0.00_-;[Red][$$-C09]* \(#,##0.00_-\);_-[$$-C09]*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_-;\-* #,##0.0_-;_-* &quot;-&quot;?_-;_-@_-"/>
    <numFmt numFmtId="184" formatCode="0.000%"/>
    <numFmt numFmtId="185" formatCode="_-&quot;$&quot;* #,##0.000_-;\-&quot;$&quot;* #,##0.000_-;_-&quot;$&quot;* &quot;-&quot;???_-;_-@_-"/>
    <numFmt numFmtId="186" formatCode="_-&quot;$&quot;* #,##0.000_-;\-&quot;$&quot;* #,##0.000_-;_-&quot;$&quot;* &quot;-&quot;??_-;_-@_-"/>
    <numFmt numFmtId="187" formatCode="_-&quot;$&quot;* #,##0.0000_-;\-&quot;$&quot;* #,##0.0000_-;_-&quot;$&quot;* &quot;-&quot;??_-;_-@_-"/>
    <numFmt numFmtId="188" formatCode="#,##0;\(#,##0\);0"/>
    <numFmt numFmtId="189" formatCode="&quot;$&quot;#,##0;\(&quot;$&quot;#,##0\);0"/>
    <numFmt numFmtId="190" formatCode="&quot;$&quot;#,##0;\(&quot;$&quot;#,##0\);&quot;$&quot;0"/>
    <numFmt numFmtId="191" formatCode="&quot;$&quot;#,##0"/>
    <numFmt numFmtId="192" formatCode="&quot;$&quot;#,##0.0;\-&quot;$&quot;#,##0.0"/>
  </numFmts>
  <fonts count="38">
    <font>
      <sz val="10"/>
      <name val="Arial"/>
      <family val="0"/>
    </font>
    <font>
      <sz val="8"/>
      <name val="Arial"/>
      <family val="2"/>
    </font>
    <font>
      <u val="single"/>
      <sz val="10"/>
      <color indexed="12"/>
      <name val="Arial"/>
      <family val="2"/>
    </font>
    <font>
      <u val="single"/>
      <sz val="10"/>
      <color indexed="36"/>
      <name val="Arial"/>
      <family val="2"/>
    </font>
    <font>
      <b/>
      <sz val="18"/>
      <name val="Arial"/>
      <family val="2"/>
    </font>
    <font>
      <b/>
      <sz val="8"/>
      <name val="Arial"/>
      <family val="2"/>
    </font>
    <font>
      <b/>
      <sz val="10"/>
      <name val="Arial"/>
      <family val="2"/>
    </font>
    <font>
      <b/>
      <sz val="20"/>
      <name val="Arial"/>
      <family val="2"/>
    </font>
    <font>
      <b/>
      <sz val="10"/>
      <color indexed="10"/>
      <name val="Arial"/>
      <family val="2"/>
    </font>
    <font>
      <sz val="7"/>
      <name val="Arial"/>
      <family val="2"/>
    </font>
    <font>
      <sz val="10"/>
      <name val="Calibri"/>
      <family val="2"/>
    </font>
    <font>
      <sz val="10"/>
      <color indexed="9"/>
      <name val="Arial"/>
      <family val="2"/>
    </font>
    <font>
      <sz val="8"/>
      <color indexed="8"/>
      <name val="Arial"/>
      <family val="2"/>
    </font>
    <font>
      <u val="double"/>
      <sz val="8"/>
      <name val="Arial"/>
      <family val="2"/>
    </font>
    <font>
      <b/>
      <i/>
      <sz val="10"/>
      <name val="Arial"/>
      <family val="2"/>
    </font>
    <font>
      <i/>
      <sz val="8"/>
      <name val="Arial"/>
      <family val="2"/>
    </font>
    <font>
      <i/>
      <sz val="10"/>
      <name val="Arial"/>
      <family val="2"/>
    </font>
    <font>
      <sz val="7"/>
      <color indexed="9"/>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style="thin"/>
      <bottom>
        <color indexed="63"/>
      </bottom>
    </border>
    <border>
      <left style="medium"/>
      <right style="medium"/>
      <top style="medium"/>
      <bottom>
        <color indexed="63"/>
      </bottom>
    </border>
    <border>
      <left style="medium"/>
      <right style="medium"/>
      <top style="thin"/>
      <bottom style="medium"/>
    </border>
    <border>
      <left style="medium"/>
      <right>
        <color indexed="63"/>
      </right>
      <top style="thin"/>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67">
    <xf numFmtId="0" fontId="0" fillId="0" borderId="0" xfId="0" applyAlignment="1">
      <alignment/>
    </xf>
    <xf numFmtId="0" fontId="1" fillId="0" borderId="0" xfId="0" applyFont="1" applyAlignment="1">
      <alignment/>
    </xf>
    <xf numFmtId="0" fontId="1" fillId="0" borderId="0" xfId="0" applyFont="1" applyAlignment="1">
      <alignment wrapText="1"/>
    </xf>
    <xf numFmtId="0" fontId="4" fillId="0" borderId="0" xfId="0" applyFont="1" applyAlignment="1">
      <alignment/>
    </xf>
    <xf numFmtId="14" fontId="4" fillId="0" borderId="0" xfId="0" applyNumberFormat="1" applyFont="1" applyAlignment="1">
      <alignment wrapText="1"/>
    </xf>
    <xf numFmtId="0" fontId="5" fillId="0" borderId="0" xfId="0" applyFont="1" applyAlignment="1">
      <alignment wrapText="1"/>
    </xf>
    <xf numFmtId="0" fontId="5"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1" fillId="0" borderId="12" xfId="0" applyFont="1" applyBorder="1" applyAlignment="1">
      <alignment horizontal="center" vertical="center" wrapText="1"/>
    </xf>
    <xf numFmtId="14" fontId="1" fillId="0" borderId="0" xfId="0" applyNumberFormat="1" applyFont="1" applyBorder="1" applyAlignment="1">
      <alignment horizontal="center" vertical="center" wrapText="1"/>
    </xf>
    <xf numFmtId="167" fontId="1" fillId="0" borderId="0" xfId="42" applyNumberFormat="1" applyFont="1" applyBorder="1" applyAlignment="1">
      <alignment horizontal="center" vertical="center" wrapText="1"/>
    </xf>
    <xf numFmtId="44" fontId="1" fillId="0" borderId="0" xfId="0" applyNumberFormat="1" applyFont="1" applyBorder="1" applyAlignment="1">
      <alignment horizontal="center" vertical="center" wrapText="1"/>
    </xf>
    <xf numFmtId="10" fontId="1" fillId="0" borderId="0" xfId="59" applyNumberFormat="1" applyFont="1" applyBorder="1" applyAlignment="1">
      <alignment horizontal="center" vertical="center" wrapText="1"/>
    </xf>
    <xf numFmtId="44" fontId="1" fillId="4" borderId="0"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14" fontId="1" fillId="0" borderId="14" xfId="0" applyNumberFormat="1" applyFont="1" applyBorder="1" applyAlignment="1">
      <alignment horizontal="center" vertical="center" wrapText="1"/>
    </xf>
    <xf numFmtId="167" fontId="1" fillId="0" borderId="14" xfId="42" applyNumberFormat="1" applyFont="1" applyBorder="1" applyAlignment="1">
      <alignment horizontal="center" vertical="center" wrapText="1"/>
    </xf>
    <xf numFmtId="0" fontId="7" fillId="0" borderId="0" xfId="0" applyFont="1" applyAlignment="1">
      <alignment/>
    </xf>
    <xf numFmtId="0" fontId="6" fillId="0" borderId="0" xfId="0" applyFont="1" applyAlignment="1">
      <alignment/>
    </xf>
    <xf numFmtId="0" fontId="0" fillId="0" borderId="11" xfId="0" applyBorder="1" applyAlignment="1">
      <alignment/>
    </xf>
    <xf numFmtId="0" fontId="0" fillId="0" borderId="15" xfId="0" applyBorder="1" applyAlignment="1">
      <alignment/>
    </xf>
    <xf numFmtId="0" fontId="0" fillId="0" borderId="12" xfId="0" applyBorder="1" applyAlignment="1">
      <alignment/>
    </xf>
    <xf numFmtId="0" fontId="1" fillId="0" borderId="0" xfId="0" applyFont="1"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10" fontId="1" fillId="4" borderId="0" xfId="59" applyNumberFormat="1" applyFont="1" applyFill="1" applyBorder="1" applyAlignment="1">
      <alignment horizontal="center" vertical="center" wrapText="1"/>
    </xf>
    <xf numFmtId="0" fontId="1" fillId="0" borderId="12" xfId="0" applyFont="1" applyBorder="1" applyAlignment="1">
      <alignment/>
    </xf>
    <xf numFmtId="10" fontId="1" fillId="0" borderId="0" xfId="0" applyNumberFormat="1" applyFont="1" applyBorder="1" applyAlignment="1">
      <alignment/>
    </xf>
    <xf numFmtId="171" fontId="6" fillId="0" borderId="0" xfId="0" applyNumberFormat="1" applyFont="1" applyAlignment="1">
      <alignment horizontal="left"/>
    </xf>
    <xf numFmtId="15" fontId="1" fillId="0" borderId="0" xfId="0" applyNumberFormat="1" applyFont="1" applyAlignment="1">
      <alignment wrapText="1"/>
    </xf>
    <xf numFmtId="44" fontId="1" fillId="4" borderId="0" xfId="44"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wrapText="1"/>
    </xf>
    <xf numFmtId="0" fontId="1" fillId="0" borderId="13" xfId="0" applyFont="1" applyBorder="1" applyAlignment="1">
      <alignment/>
    </xf>
    <xf numFmtId="0" fontId="6" fillId="0" borderId="10" xfId="0" applyFont="1" applyBorder="1" applyAlignment="1">
      <alignment/>
    </xf>
    <xf numFmtId="0" fontId="0" fillId="0" borderId="13" xfId="0" applyBorder="1" applyAlignment="1">
      <alignment/>
    </xf>
    <xf numFmtId="0" fontId="6" fillId="0" borderId="10" xfId="0" applyFont="1" applyBorder="1" applyAlignment="1">
      <alignment wrapText="1"/>
    </xf>
    <xf numFmtId="0" fontId="1" fillId="0" borderId="11" xfId="0" applyFont="1" applyBorder="1" applyAlignment="1">
      <alignment wrapText="1"/>
    </xf>
    <xf numFmtId="10" fontId="1" fillId="0" borderId="15" xfId="0" applyNumberFormat="1" applyFont="1" applyBorder="1" applyAlignment="1">
      <alignment/>
    </xf>
    <xf numFmtId="10" fontId="1" fillId="0" borderId="16" xfId="0" applyNumberFormat="1" applyFont="1" applyBorder="1" applyAlignment="1">
      <alignment/>
    </xf>
    <xf numFmtId="0" fontId="1" fillId="0" borderId="14" xfId="0" applyFont="1" applyBorder="1" applyAlignment="1">
      <alignment wrapText="1"/>
    </xf>
    <xf numFmtId="10" fontId="1" fillId="0" borderId="17" xfId="0" applyNumberFormat="1" applyFont="1" applyBorder="1" applyAlignment="1">
      <alignment/>
    </xf>
    <xf numFmtId="0" fontId="1" fillId="0" borderId="14" xfId="0" applyFont="1" applyBorder="1" applyAlignment="1">
      <alignment/>
    </xf>
    <xf numFmtId="0" fontId="5" fillId="0" borderId="10" xfId="0" applyFont="1" applyBorder="1" applyAlignment="1">
      <alignment horizontal="left" vertical="top" wrapText="1"/>
    </xf>
    <xf numFmtId="0" fontId="1" fillId="0" borderId="11" xfId="0" applyFont="1" applyBorder="1" applyAlignment="1">
      <alignment horizontal="left" vertical="top" wrapText="1"/>
    </xf>
    <xf numFmtId="0" fontId="5" fillId="0" borderId="12" xfId="0" applyFont="1" applyBorder="1" applyAlignment="1">
      <alignment horizontal="left" vertical="top" wrapText="1"/>
    </xf>
    <xf numFmtId="0" fontId="1" fillId="0" borderId="0" xfId="0" applyFont="1" applyBorder="1" applyAlignment="1">
      <alignment horizontal="left" vertical="top" wrapText="1"/>
    </xf>
    <xf numFmtId="0" fontId="5" fillId="0" borderId="13" xfId="0" applyFont="1" applyBorder="1" applyAlignment="1">
      <alignment horizontal="left" vertical="top" wrapText="1"/>
    </xf>
    <xf numFmtId="0" fontId="1" fillId="0" borderId="14" xfId="0" applyFont="1" applyBorder="1" applyAlignment="1">
      <alignment horizontal="left" vertical="top" wrapText="1"/>
    </xf>
    <xf numFmtId="0" fontId="6" fillId="0" borderId="18" xfId="0" applyFont="1" applyBorder="1" applyAlignment="1">
      <alignment/>
    </xf>
    <xf numFmtId="0" fontId="0" fillId="0" borderId="19" xfId="0" applyBorder="1" applyAlignment="1">
      <alignment/>
    </xf>
    <xf numFmtId="0" fontId="0" fillId="0" borderId="20" xfId="0" applyBorder="1" applyAlignment="1">
      <alignment/>
    </xf>
    <xf numFmtId="0" fontId="5" fillId="7" borderId="11"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 fillId="0" borderId="0" xfId="0" applyFont="1" applyFill="1" applyAlignment="1">
      <alignment wrapText="1"/>
    </xf>
    <xf numFmtId="0" fontId="5" fillId="20" borderId="11" xfId="0" applyFont="1" applyFill="1" applyBorder="1" applyAlignment="1">
      <alignment horizontal="center" vertical="center" wrapText="1"/>
    </xf>
    <xf numFmtId="0" fontId="5" fillId="20" borderId="0" xfId="0" applyFont="1" applyFill="1" applyBorder="1" applyAlignment="1">
      <alignment horizontal="center" vertical="center" wrapText="1"/>
    </xf>
    <xf numFmtId="164" fontId="1" fillId="20" borderId="0" xfId="0" applyNumberFormat="1" applyFont="1" applyFill="1" applyAlignment="1">
      <alignment wrapText="1"/>
    </xf>
    <xf numFmtId="44" fontId="1" fillId="7" borderId="0" xfId="0" applyNumberFormat="1" applyFont="1" applyFill="1" applyBorder="1" applyAlignment="1">
      <alignment horizontal="center" vertical="center" wrapText="1"/>
    </xf>
    <xf numFmtId="0" fontId="5" fillId="22" borderId="11" xfId="0" applyFont="1" applyFill="1" applyBorder="1" applyAlignment="1">
      <alignment horizontal="center" vertical="center" wrapText="1"/>
    </xf>
    <xf numFmtId="0" fontId="5" fillId="22" borderId="15" xfId="0" applyFont="1" applyFill="1" applyBorder="1" applyAlignment="1">
      <alignment horizontal="center" vertical="center" wrapText="1"/>
    </xf>
    <xf numFmtId="0" fontId="5" fillId="22" borderId="0" xfId="0" applyFont="1" applyFill="1" applyBorder="1" applyAlignment="1">
      <alignment horizontal="center" vertical="center" wrapText="1"/>
    </xf>
    <xf numFmtId="0" fontId="5" fillId="22" borderId="16" xfId="0" applyFont="1" applyFill="1" applyBorder="1" applyAlignment="1">
      <alignment horizontal="center" vertical="center" wrapText="1"/>
    </xf>
    <xf numFmtId="44" fontId="1" fillId="22" borderId="0" xfId="0" applyNumberFormat="1" applyFont="1" applyFill="1" applyBorder="1" applyAlignment="1">
      <alignment horizontal="center" vertical="center" wrapText="1"/>
    </xf>
    <xf numFmtId="44" fontId="1" fillId="22" borderId="16" xfId="0" applyNumberFormat="1" applyFont="1" applyFill="1" applyBorder="1" applyAlignment="1">
      <alignment horizontal="center" vertical="center" wrapText="1"/>
    </xf>
    <xf numFmtId="0" fontId="8" fillId="0" borderId="0" xfId="0" applyFont="1" applyAlignment="1">
      <alignment/>
    </xf>
    <xf numFmtId="0" fontId="0" fillId="0" borderId="0" xfId="0" applyAlignment="1">
      <alignment/>
    </xf>
    <xf numFmtId="0" fontId="9" fillId="0" borderId="0" xfId="0" applyFont="1" applyAlignment="1">
      <alignment/>
    </xf>
    <xf numFmtId="167" fontId="1" fillId="0" borderId="16" xfId="42" applyNumberFormat="1" applyFont="1" applyBorder="1" applyAlignment="1">
      <alignment/>
    </xf>
    <xf numFmtId="10" fontId="1" fillId="20" borderId="0" xfId="0" applyNumberFormat="1" applyFont="1" applyFill="1" applyAlignment="1">
      <alignment wrapText="1"/>
    </xf>
    <xf numFmtId="0" fontId="10" fillId="0" borderId="0" xfId="0" applyFont="1" applyAlignment="1">
      <alignment/>
    </xf>
    <xf numFmtId="0" fontId="5" fillId="0" borderId="15" xfId="0" applyFont="1"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11" fillId="0" borderId="0" xfId="0" applyFont="1" applyAlignment="1">
      <alignment/>
    </xf>
    <xf numFmtId="190" fontId="1" fillId="0" borderId="0" xfId="44" applyNumberFormat="1" applyFont="1" applyBorder="1" applyAlignment="1">
      <alignment/>
    </xf>
    <xf numFmtId="190" fontId="1" fillId="0" borderId="11" xfId="0" applyNumberFormat="1" applyFont="1" applyBorder="1" applyAlignment="1">
      <alignment/>
    </xf>
    <xf numFmtId="190" fontId="1" fillId="0" borderId="0" xfId="0" applyNumberFormat="1" applyFont="1" applyBorder="1" applyAlignment="1">
      <alignment/>
    </xf>
    <xf numFmtId="190" fontId="1" fillId="0" borderId="0" xfId="0" applyNumberFormat="1" applyFont="1" applyFill="1" applyBorder="1" applyAlignment="1">
      <alignment/>
    </xf>
    <xf numFmtId="0" fontId="0" fillId="0" borderId="0" xfId="0" applyFill="1" applyAlignment="1">
      <alignment/>
    </xf>
    <xf numFmtId="0" fontId="5" fillId="0" borderId="10" xfId="0" applyFont="1" applyFill="1" applyBorder="1" applyAlignment="1">
      <alignment/>
    </xf>
    <xf numFmtId="0" fontId="5" fillId="0" borderId="12" xfId="0" applyFont="1" applyFill="1" applyBorder="1" applyAlignment="1">
      <alignment/>
    </xf>
    <xf numFmtId="0" fontId="6" fillId="0" borderId="10" xfId="0" applyFont="1" applyFill="1" applyBorder="1" applyAlignment="1">
      <alignment vertical="center" wrapText="1"/>
    </xf>
    <xf numFmtId="0" fontId="1" fillId="0" borderId="12" xfId="0" applyFont="1" applyFill="1" applyBorder="1" applyAlignment="1">
      <alignment/>
    </xf>
    <xf numFmtId="0" fontId="6" fillId="0" borderId="10" xfId="0" applyFont="1" applyFill="1" applyBorder="1" applyAlignment="1">
      <alignment/>
    </xf>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12" xfId="0" applyFont="1" applyFill="1" applyBorder="1" applyAlignment="1">
      <alignment vertical="top" wrapText="1"/>
    </xf>
    <xf numFmtId="0" fontId="5" fillId="0" borderId="12" xfId="0" applyFont="1" applyBorder="1" applyAlignment="1">
      <alignment vertical="top" wrapText="1"/>
    </xf>
    <xf numFmtId="0" fontId="1" fillId="0" borderId="13" xfId="0" applyFont="1" applyFill="1" applyBorder="1" applyAlignment="1">
      <alignment vertical="top" wrapText="1"/>
    </xf>
    <xf numFmtId="0" fontId="5" fillId="0" borderId="10" xfId="0" applyFont="1" applyBorder="1" applyAlignment="1">
      <alignment vertical="top" wrapText="1"/>
    </xf>
    <xf numFmtId="0" fontId="0" fillId="0" borderId="12" xfId="0" applyFont="1" applyBorder="1" applyAlignment="1">
      <alignment vertical="top" wrapText="1"/>
    </xf>
    <xf numFmtId="0" fontId="6" fillId="0" borderId="16" xfId="0" applyFont="1" applyBorder="1" applyAlignment="1">
      <alignment horizontal="left" vertical="top" wrapText="1"/>
    </xf>
    <xf numFmtId="0" fontId="0" fillId="0" borderId="0" xfId="0" applyAlignment="1">
      <alignment horizontal="left" wrapText="1"/>
    </xf>
    <xf numFmtId="10" fontId="12" fillId="0" borderId="21" xfId="0" applyNumberFormat="1" applyFont="1" applyBorder="1" applyAlignment="1" applyProtection="1">
      <alignment horizontal="right" vertical="top"/>
      <protection locked="0"/>
    </xf>
    <xf numFmtId="0" fontId="12" fillId="0" borderId="21" xfId="0" applyFont="1" applyBorder="1" applyAlignment="1" applyProtection="1">
      <alignment horizontal="right" vertical="top"/>
      <protection locked="0"/>
    </xf>
    <xf numFmtId="167" fontId="12" fillId="0" borderId="21" xfId="42" applyNumberFormat="1" applyFont="1" applyBorder="1" applyAlignment="1" applyProtection="1">
      <alignment horizontal="right" vertical="top"/>
      <protection locked="0"/>
    </xf>
    <xf numFmtId="10" fontId="12" fillId="0" borderId="21" xfId="59" applyNumberFormat="1" applyFont="1" applyBorder="1" applyAlignment="1" applyProtection="1">
      <alignment horizontal="right" vertical="top"/>
      <protection locked="0"/>
    </xf>
    <xf numFmtId="184" fontId="12" fillId="0" borderId="21" xfId="59" applyNumberFormat="1" applyFont="1" applyBorder="1" applyAlignment="1" applyProtection="1">
      <alignment horizontal="right" vertical="top"/>
      <protection locked="0"/>
    </xf>
    <xf numFmtId="10" fontId="1" fillId="0" borderId="0" xfId="0" applyNumberFormat="1" applyFont="1" applyFill="1" applyAlignment="1">
      <alignment wrapText="1"/>
    </xf>
    <xf numFmtId="0" fontId="15" fillId="0" borderId="10" xfId="0" applyFont="1" applyBorder="1" applyAlignment="1">
      <alignment vertical="top" wrapText="1"/>
    </xf>
    <xf numFmtId="0" fontId="15" fillId="0" borderId="12" xfId="0" applyFont="1" applyBorder="1" applyAlignment="1">
      <alignment vertical="top" wrapText="1"/>
    </xf>
    <xf numFmtId="0" fontId="16" fillId="0" borderId="12" xfId="0" applyFont="1" applyBorder="1" applyAlignment="1">
      <alignment vertical="top" wrapText="1"/>
    </xf>
    <xf numFmtId="0" fontId="15" fillId="0" borderId="13" xfId="0" applyFont="1" applyBorder="1" applyAlignment="1">
      <alignment vertical="top" wrapText="1"/>
    </xf>
    <xf numFmtId="10" fontId="1" fillId="4" borderId="0" xfId="0" applyNumberFormat="1" applyFont="1" applyFill="1" applyAlignment="1">
      <alignment wrapText="1"/>
    </xf>
    <xf numFmtId="44" fontId="1" fillId="17" borderId="0" xfId="44" applyFont="1" applyFill="1" applyBorder="1" applyAlignment="1">
      <alignment horizontal="center" vertical="center" wrapText="1"/>
    </xf>
    <xf numFmtId="44" fontId="1" fillId="17" borderId="14" xfId="44" applyFont="1" applyFill="1" applyBorder="1" applyAlignment="1">
      <alignment horizontal="center" vertical="center" wrapText="1"/>
    </xf>
    <xf numFmtId="44" fontId="1" fillId="17" borderId="0" xfId="44" applyFont="1" applyFill="1" applyAlignment="1">
      <alignment wrapText="1"/>
    </xf>
    <xf numFmtId="14" fontId="4" fillId="17" borderId="0" xfId="0" applyNumberFormat="1" applyFont="1" applyFill="1" applyAlignment="1">
      <alignment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0" fontId="1" fillId="0" borderId="22" xfId="0" applyFont="1" applyFill="1" applyBorder="1" applyAlignment="1">
      <alignment/>
    </xf>
    <xf numFmtId="0" fontId="0" fillId="0" borderId="23" xfId="0" applyBorder="1" applyAlignment="1">
      <alignment/>
    </xf>
    <xf numFmtId="190" fontId="1" fillId="0" borderId="24" xfId="0" applyNumberFormat="1" applyFont="1" applyBorder="1" applyAlignment="1">
      <alignment/>
    </xf>
    <xf numFmtId="0" fontId="0" fillId="0" borderId="25" xfId="0" applyBorder="1" applyAlignment="1">
      <alignment/>
    </xf>
    <xf numFmtId="190" fontId="1" fillId="0" borderId="26" xfId="0" applyNumberFormat="1" applyFont="1" applyBorder="1" applyAlignment="1">
      <alignment/>
    </xf>
    <xf numFmtId="0" fontId="15" fillId="0" borderId="27" xfId="0" applyFont="1" applyBorder="1" applyAlignment="1">
      <alignment horizontal="right" vertical="center" wrapText="1"/>
    </xf>
    <xf numFmtId="190" fontId="15" fillId="0" borderId="21" xfId="0" applyNumberFormat="1" applyFont="1" applyBorder="1" applyAlignment="1">
      <alignment/>
    </xf>
    <xf numFmtId="190" fontId="15" fillId="0" borderId="28" xfId="0" applyNumberFormat="1" applyFont="1" applyBorder="1" applyAlignment="1">
      <alignment/>
    </xf>
    <xf numFmtId="190" fontId="15" fillId="0" borderId="29" xfId="0" applyNumberFormat="1" applyFont="1" applyBorder="1" applyAlignment="1">
      <alignment/>
    </xf>
    <xf numFmtId="190" fontId="15" fillId="0" borderId="30" xfId="0" applyNumberFormat="1" applyFont="1" applyBorder="1" applyAlignment="1">
      <alignment/>
    </xf>
    <xf numFmtId="190" fontId="1" fillId="0" borderId="26" xfId="0" applyNumberFormat="1" applyFont="1" applyBorder="1" applyAlignment="1">
      <alignment horizontal="right" vertical="top"/>
    </xf>
    <xf numFmtId="190" fontId="15" fillId="0" borderId="30" xfId="0" applyNumberFormat="1" applyFont="1" applyBorder="1" applyAlignment="1">
      <alignment horizontal="right" vertical="top"/>
    </xf>
    <xf numFmtId="0" fontId="1" fillId="0" borderId="18" xfId="0" applyFont="1" applyBorder="1" applyAlignment="1">
      <alignment vertical="top" wrapText="1"/>
    </xf>
    <xf numFmtId="169" fontId="1" fillId="0" borderId="27" xfId="0" applyNumberFormat="1" applyFont="1" applyBorder="1" applyAlignment="1">
      <alignment horizontal="right" vertical="top"/>
    </xf>
    <xf numFmtId="10" fontId="12" fillId="0" borderId="27" xfId="0" applyNumberFormat="1" applyFont="1" applyBorder="1" applyAlignment="1" applyProtection="1">
      <alignment horizontal="right" vertical="top"/>
      <protection locked="0"/>
    </xf>
    <xf numFmtId="0" fontId="17" fillId="0" borderId="0" xfId="0" applyFont="1" applyAlignment="1">
      <alignment/>
    </xf>
    <xf numFmtId="9" fontId="17" fillId="0" borderId="0" xfId="0" applyNumberFormat="1" applyFont="1" applyAlignment="1">
      <alignment/>
    </xf>
    <xf numFmtId="10" fontId="17" fillId="0" borderId="0" xfId="0" applyNumberFormat="1" applyFont="1" applyAlignment="1">
      <alignment/>
    </xf>
    <xf numFmtId="0" fontId="4" fillId="0" borderId="0" xfId="0" applyFont="1" applyFill="1" applyAlignment="1">
      <alignment/>
    </xf>
    <xf numFmtId="0" fontId="7" fillId="0" borderId="0" xfId="0" applyFont="1" applyFill="1" applyAlignment="1">
      <alignment/>
    </xf>
    <xf numFmtId="0" fontId="18" fillId="0" borderId="29" xfId="0" applyFont="1" applyBorder="1" applyAlignment="1" applyProtection="1">
      <alignment horizontal="center" vertical="top"/>
      <protection locked="0"/>
    </xf>
    <xf numFmtId="0" fontId="1" fillId="0" borderId="31" xfId="0" applyFont="1" applyFill="1" applyBorder="1" applyAlignment="1">
      <alignment horizontal="left" vertical="top" wrapText="1"/>
    </xf>
    <xf numFmtId="0" fontId="0" fillId="0" borderId="0" xfId="0" applyFont="1" applyAlignment="1">
      <alignment/>
    </xf>
    <xf numFmtId="0" fontId="0" fillId="0" borderId="0" xfId="0" applyFont="1" applyAlignment="1">
      <alignment wrapText="1"/>
    </xf>
    <xf numFmtId="0" fontId="1" fillId="0" borderId="0" xfId="0" applyFont="1" applyAlignment="1">
      <alignment horizontal="left" vertical="top"/>
    </xf>
    <xf numFmtId="0" fontId="1" fillId="0" borderId="0" xfId="0" applyNumberFormat="1" applyFont="1" applyAlignment="1">
      <alignment vertical="top" wrapText="1"/>
    </xf>
    <xf numFmtId="0" fontId="1" fillId="0" borderId="0" xfId="0" applyFont="1" applyAlignment="1">
      <alignment vertical="top" wrapText="1"/>
    </xf>
    <xf numFmtId="0" fontId="37" fillId="0" borderId="0" xfId="0" applyFont="1" applyAlignment="1">
      <alignment/>
    </xf>
    <xf numFmtId="0" fontId="37" fillId="0" borderId="0" xfId="0" applyFont="1" applyAlignment="1">
      <alignment wrapText="1"/>
    </xf>
    <xf numFmtId="0" fontId="6" fillId="0" borderId="0" xfId="0" applyFont="1" applyAlignment="1">
      <alignment wrapText="1"/>
    </xf>
    <xf numFmtId="0" fontId="11" fillId="24" borderId="0" xfId="0" applyFont="1" applyFill="1" applyAlignment="1">
      <alignment/>
    </xf>
    <xf numFmtId="0" fontId="11" fillId="24" borderId="0" xfId="0" applyFont="1" applyFill="1" applyBorder="1" applyAlignment="1">
      <alignment vertical="center" wrapText="1"/>
    </xf>
    <xf numFmtId="0" fontId="11" fillId="24" borderId="0" xfId="0" applyFont="1" applyFill="1" applyBorder="1" applyAlignment="1">
      <alignment/>
    </xf>
    <xf numFmtId="169" fontId="1" fillId="0" borderId="21" xfId="0" applyNumberFormat="1" applyFont="1" applyBorder="1" applyAlignment="1" applyProtection="1">
      <alignment horizontal="right" vertical="top"/>
      <protection locked="0"/>
    </xf>
    <xf numFmtId="10" fontId="1" fillId="0" borderId="29" xfId="0" applyNumberFormat="1" applyFont="1" applyBorder="1" applyAlignment="1" applyProtection="1">
      <alignment horizontal="right" vertical="top"/>
      <protection locked="0"/>
    </xf>
    <xf numFmtId="5" fontId="1" fillId="0" borderId="29" xfId="44" applyNumberFormat="1" applyFont="1" applyBorder="1" applyAlignment="1" applyProtection="1">
      <alignment horizontal="right" vertical="top"/>
      <protection locked="0"/>
    </xf>
    <xf numFmtId="5" fontId="1" fillId="0" borderId="21" xfId="44" applyNumberFormat="1" applyFont="1" applyBorder="1" applyAlignment="1" applyProtection="1">
      <alignment horizontal="right" vertical="top"/>
      <protection locked="0"/>
    </xf>
    <xf numFmtId="5" fontId="13" fillId="0" borderId="21" xfId="0" applyNumberFormat="1" applyFont="1" applyBorder="1" applyAlignment="1" applyProtection="1">
      <alignment horizontal="right" vertical="top"/>
      <protection locked="0"/>
    </xf>
    <xf numFmtId="5" fontId="1" fillId="0" borderId="21" xfId="0" applyNumberFormat="1" applyFont="1" applyBorder="1" applyAlignment="1" applyProtection="1">
      <alignment horizontal="right" vertical="top"/>
      <protection locked="0"/>
    </xf>
    <xf numFmtId="167" fontId="1" fillId="0" borderId="21" xfId="42" applyNumberFormat="1" applyFont="1" applyBorder="1" applyAlignment="1" applyProtection="1">
      <alignment horizontal="right" vertical="top"/>
      <protection locked="0"/>
    </xf>
    <xf numFmtId="5" fontId="1" fillId="0" borderId="32" xfId="44" applyNumberFormat="1" applyFont="1" applyBorder="1" applyAlignment="1" applyProtection="1">
      <alignment horizontal="right" vertical="top"/>
      <protection locked="0"/>
    </xf>
    <xf numFmtId="10" fontId="1" fillId="0" borderId="21" xfId="0" applyNumberFormat="1" applyFont="1" applyBorder="1" applyAlignment="1" applyProtection="1">
      <alignment/>
      <protection locked="0"/>
    </xf>
    <xf numFmtId="191" fontId="15" fillId="0" borderId="29" xfId="44" applyNumberFormat="1" applyFont="1" applyBorder="1" applyAlignment="1" applyProtection="1">
      <alignment vertical="top"/>
      <protection locked="0"/>
    </xf>
    <xf numFmtId="191" fontId="15" fillId="0" borderId="21" xfId="44" applyNumberFormat="1" applyFont="1" applyBorder="1" applyAlignment="1" applyProtection="1">
      <alignment vertical="top"/>
      <protection locked="0"/>
    </xf>
    <xf numFmtId="191" fontId="15" fillId="0" borderId="21" xfId="0" applyNumberFormat="1" applyFont="1" applyBorder="1" applyAlignment="1" applyProtection="1">
      <alignment vertical="top"/>
      <protection locked="0"/>
    </xf>
    <xf numFmtId="191" fontId="15" fillId="0" borderId="32" xfId="0" applyNumberFormat="1" applyFont="1" applyBorder="1" applyAlignment="1" applyProtection="1">
      <alignment vertical="top"/>
      <protection locked="0"/>
    </xf>
    <xf numFmtId="10" fontId="1" fillId="0" borderId="21" xfId="0" applyNumberFormat="1" applyFont="1" applyBorder="1" applyAlignment="1" applyProtection="1">
      <alignment horizontal="right" vertical="top"/>
      <protection/>
    </xf>
    <xf numFmtId="0" fontId="14" fillId="0" borderId="16" xfId="0" applyFont="1" applyBorder="1" applyAlignment="1">
      <alignment horizontal="left" vertical="top" wrapText="1"/>
    </xf>
    <xf numFmtId="0" fontId="6" fillId="0" borderId="1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20</xdr:row>
      <xdr:rowOff>152400</xdr:rowOff>
    </xdr:from>
    <xdr:to>
      <xdr:col>2</xdr:col>
      <xdr:colOff>1714500</xdr:colOff>
      <xdr:row>25</xdr:row>
      <xdr:rowOff>47625</xdr:rowOff>
    </xdr:to>
    <xdr:pic>
      <xdr:nvPicPr>
        <xdr:cNvPr id="1" name="cmdAccept"/>
        <xdr:cNvPicPr preferRelativeResize="1">
          <a:picLocks noChangeAspect="1"/>
        </xdr:cNvPicPr>
      </xdr:nvPicPr>
      <xdr:blipFill>
        <a:blip r:embed="rId1"/>
        <a:stretch>
          <a:fillRect/>
        </a:stretch>
      </xdr:blipFill>
      <xdr:spPr>
        <a:xfrm>
          <a:off x="161925" y="4524375"/>
          <a:ext cx="1819275" cy="704850"/>
        </a:xfrm>
        <a:prstGeom prst="rect">
          <a:avLst/>
        </a:prstGeom>
        <a:noFill/>
        <a:ln w="9525" cmpd="sng">
          <a:noFill/>
        </a:ln>
      </xdr:spPr>
    </xdr:pic>
    <xdr:clientData/>
  </xdr:twoCellAnchor>
  <xdr:twoCellAnchor editAs="oneCell">
    <xdr:from>
      <xdr:col>0</xdr:col>
      <xdr:colOff>0</xdr:colOff>
      <xdr:row>0</xdr:row>
      <xdr:rowOff>0</xdr:rowOff>
    </xdr:from>
    <xdr:to>
      <xdr:col>2</xdr:col>
      <xdr:colOff>3228975</xdr:colOff>
      <xdr:row>4</xdr:row>
      <xdr:rowOff>152400</xdr:rowOff>
    </xdr:to>
    <xdr:pic>
      <xdr:nvPicPr>
        <xdr:cNvPr id="2" name="Picture 2"/>
        <xdr:cNvPicPr preferRelativeResize="1">
          <a:picLocks noChangeAspect="1"/>
        </xdr:cNvPicPr>
      </xdr:nvPicPr>
      <xdr:blipFill>
        <a:blip r:embed="rId2"/>
        <a:stretch>
          <a:fillRect/>
        </a:stretch>
      </xdr:blipFill>
      <xdr:spPr>
        <a:xfrm>
          <a:off x="0" y="0"/>
          <a:ext cx="3495675" cy="800100"/>
        </a:xfrm>
        <a:prstGeom prst="rect">
          <a:avLst/>
        </a:prstGeom>
        <a:noFill/>
        <a:ln w="9525" cmpd="sng">
          <a:noFill/>
        </a:ln>
      </xdr:spPr>
    </xdr:pic>
    <xdr:clientData/>
  </xdr:twoCellAnchor>
  <xdr:twoCellAnchor>
    <xdr:from>
      <xdr:col>2</xdr:col>
      <xdr:colOff>514350</xdr:colOff>
      <xdr:row>2</xdr:row>
      <xdr:rowOff>28575</xdr:rowOff>
    </xdr:from>
    <xdr:to>
      <xdr:col>2</xdr:col>
      <xdr:colOff>6057900</xdr:colOff>
      <xdr:row>4</xdr:row>
      <xdr:rowOff>9525</xdr:rowOff>
    </xdr:to>
    <xdr:sp>
      <xdr:nvSpPr>
        <xdr:cNvPr id="3" name="TextBox 111"/>
        <xdr:cNvSpPr txBox="1">
          <a:spLocks noChangeArrowheads="1"/>
        </xdr:cNvSpPr>
      </xdr:nvSpPr>
      <xdr:spPr>
        <a:xfrm>
          <a:off x="781050" y="352425"/>
          <a:ext cx="5534025" cy="304800"/>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Disclaimer</a:t>
          </a:r>
        </a:p>
      </xdr:txBody>
    </xdr:sp>
    <xdr:clientData/>
  </xdr:twoCellAnchor>
  <xdr:twoCellAnchor editAs="oneCell">
    <xdr:from>
      <xdr:col>2</xdr:col>
      <xdr:colOff>3209925</xdr:colOff>
      <xdr:row>0</xdr:row>
      <xdr:rowOff>0</xdr:rowOff>
    </xdr:from>
    <xdr:to>
      <xdr:col>2</xdr:col>
      <xdr:colOff>11153775</xdr:colOff>
      <xdr:row>4</xdr:row>
      <xdr:rowOff>152400</xdr:rowOff>
    </xdr:to>
    <xdr:pic>
      <xdr:nvPicPr>
        <xdr:cNvPr id="4" name="Picture 112"/>
        <xdr:cNvPicPr preferRelativeResize="1">
          <a:picLocks noChangeAspect="1"/>
        </xdr:cNvPicPr>
      </xdr:nvPicPr>
      <xdr:blipFill>
        <a:blip r:embed="rId2"/>
        <a:srcRect l="22640"/>
        <a:stretch>
          <a:fillRect/>
        </a:stretch>
      </xdr:blipFill>
      <xdr:spPr>
        <a:xfrm>
          <a:off x="3476625" y="0"/>
          <a:ext cx="79438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4</xdr:row>
      <xdr:rowOff>152400</xdr:rowOff>
    </xdr:to>
    <xdr:pic>
      <xdr:nvPicPr>
        <xdr:cNvPr id="1" name="Picture 2"/>
        <xdr:cNvPicPr preferRelativeResize="1">
          <a:picLocks noChangeAspect="1"/>
        </xdr:cNvPicPr>
      </xdr:nvPicPr>
      <xdr:blipFill>
        <a:blip r:embed="rId1"/>
        <a:stretch>
          <a:fillRect/>
        </a:stretch>
      </xdr:blipFill>
      <xdr:spPr>
        <a:xfrm>
          <a:off x="0" y="0"/>
          <a:ext cx="3495675" cy="800100"/>
        </a:xfrm>
        <a:prstGeom prst="rect">
          <a:avLst/>
        </a:prstGeom>
        <a:noFill/>
        <a:ln w="9525" cmpd="sng">
          <a:noFill/>
        </a:ln>
      </xdr:spPr>
    </xdr:pic>
    <xdr:clientData/>
  </xdr:twoCellAnchor>
  <xdr:twoCellAnchor editAs="oneCell">
    <xdr:from>
      <xdr:col>0</xdr:col>
      <xdr:colOff>3486150</xdr:colOff>
      <xdr:row>0</xdr:row>
      <xdr:rowOff>0</xdr:rowOff>
    </xdr:from>
    <xdr:to>
      <xdr:col>0</xdr:col>
      <xdr:colOff>8058150</xdr:colOff>
      <xdr:row>4</xdr:row>
      <xdr:rowOff>152400</xdr:rowOff>
    </xdr:to>
    <xdr:pic>
      <xdr:nvPicPr>
        <xdr:cNvPr id="2" name="Picture 2"/>
        <xdr:cNvPicPr preferRelativeResize="1">
          <a:picLocks noChangeAspect="1"/>
        </xdr:cNvPicPr>
      </xdr:nvPicPr>
      <xdr:blipFill>
        <a:blip r:embed="rId1"/>
        <a:srcRect l="22640"/>
        <a:stretch>
          <a:fillRect/>
        </a:stretch>
      </xdr:blipFill>
      <xdr:spPr>
        <a:xfrm>
          <a:off x="3486150" y="0"/>
          <a:ext cx="4572000" cy="800100"/>
        </a:xfrm>
        <a:prstGeom prst="rect">
          <a:avLst/>
        </a:prstGeom>
        <a:noFill/>
        <a:ln w="9525" cmpd="sng">
          <a:noFill/>
        </a:ln>
      </xdr:spPr>
    </xdr:pic>
    <xdr:clientData/>
  </xdr:twoCellAnchor>
  <xdr:twoCellAnchor>
    <xdr:from>
      <xdr:col>0</xdr:col>
      <xdr:colOff>800100</xdr:colOff>
      <xdr:row>2</xdr:row>
      <xdr:rowOff>28575</xdr:rowOff>
    </xdr:from>
    <xdr:to>
      <xdr:col>0</xdr:col>
      <xdr:colOff>6343650</xdr:colOff>
      <xdr:row>4</xdr:row>
      <xdr:rowOff>0</xdr:rowOff>
    </xdr:to>
    <xdr:sp>
      <xdr:nvSpPr>
        <xdr:cNvPr id="3" name="TextBox 4"/>
        <xdr:cNvSpPr txBox="1">
          <a:spLocks noChangeArrowheads="1"/>
        </xdr:cNvSpPr>
      </xdr:nvSpPr>
      <xdr:spPr>
        <a:xfrm>
          <a:off x="800100" y="352425"/>
          <a:ext cx="5543550" cy="295275"/>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User guide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xdr:row>
      <xdr:rowOff>76200</xdr:rowOff>
    </xdr:from>
    <xdr:to>
      <xdr:col>5</xdr:col>
      <xdr:colOff>600075</xdr:colOff>
      <xdr:row>5</xdr:row>
      <xdr:rowOff>104775</xdr:rowOff>
    </xdr:to>
    <xdr:pic>
      <xdr:nvPicPr>
        <xdr:cNvPr id="1" name="cmdAddWarrants1"/>
        <xdr:cNvPicPr preferRelativeResize="1">
          <a:picLocks noChangeAspect="1"/>
        </xdr:cNvPicPr>
      </xdr:nvPicPr>
      <xdr:blipFill>
        <a:blip r:embed="rId1"/>
        <a:stretch>
          <a:fillRect/>
        </a:stretch>
      </xdr:blipFill>
      <xdr:spPr>
        <a:xfrm>
          <a:off x="4714875" y="733425"/>
          <a:ext cx="1209675" cy="314325"/>
        </a:xfrm>
        <a:prstGeom prst="rect">
          <a:avLst/>
        </a:prstGeom>
        <a:noFill/>
        <a:ln w="9525" cmpd="sng">
          <a:noFill/>
        </a:ln>
      </xdr:spPr>
    </xdr:pic>
    <xdr:clientData/>
  </xdr:twoCellAnchor>
  <xdr:twoCellAnchor editAs="oneCell">
    <xdr:from>
      <xdr:col>0</xdr:col>
      <xdr:colOff>0</xdr:colOff>
      <xdr:row>0</xdr:row>
      <xdr:rowOff>0</xdr:rowOff>
    </xdr:from>
    <xdr:to>
      <xdr:col>2</xdr:col>
      <xdr:colOff>1962150</xdr:colOff>
      <xdr:row>3</xdr:row>
      <xdr:rowOff>104775</xdr:rowOff>
    </xdr:to>
    <xdr:pic>
      <xdr:nvPicPr>
        <xdr:cNvPr id="2" name="Picture 2"/>
        <xdr:cNvPicPr preferRelativeResize="1">
          <a:picLocks noChangeAspect="1"/>
        </xdr:cNvPicPr>
      </xdr:nvPicPr>
      <xdr:blipFill>
        <a:blip r:embed="rId2"/>
        <a:stretch>
          <a:fillRect/>
        </a:stretch>
      </xdr:blipFill>
      <xdr:spPr>
        <a:xfrm>
          <a:off x="0" y="0"/>
          <a:ext cx="3495675" cy="762000"/>
        </a:xfrm>
        <a:prstGeom prst="rect">
          <a:avLst/>
        </a:prstGeom>
        <a:noFill/>
        <a:ln w="9525" cmpd="sng">
          <a:noFill/>
        </a:ln>
      </xdr:spPr>
    </xdr:pic>
    <xdr:clientData/>
  </xdr:twoCellAnchor>
  <xdr:twoCellAnchor editAs="oneCell">
    <xdr:from>
      <xdr:col>2</xdr:col>
      <xdr:colOff>1914525</xdr:colOff>
      <xdr:row>0</xdr:row>
      <xdr:rowOff>0</xdr:rowOff>
    </xdr:from>
    <xdr:to>
      <xdr:col>6</xdr:col>
      <xdr:colOff>590550</xdr:colOff>
      <xdr:row>3</xdr:row>
      <xdr:rowOff>104775</xdr:rowOff>
    </xdr:to>
    <xdr:pic>
      <xdr:nvPicPr>
        <xdr:cNvPr id="3" name="Picture 66"/>
        <xdr:cNvPicPr preferRelativeResize="1">
          <a:picLocks noChangeAspect="1"/>
        </xdr:cNvPicPr>
      </xdr:nvPicPr>
      <xdr:blipFill>
        <a:blip r:embed="rId2"/>
        <a:srcRect l="22640"/>
        <a:stretch>
          <a:fillRect/>
        </a:stretch>
      </xdr:blipFill>
      <xdr:spPr>
        <a:xfrm>
          <a:off x="3448050" y="0"/>
          <a:ext cx="3076575" cy="762000"/>
        </a:xfrm>
        <a:prstGeom prst="rect">
          <a:avLst/>
        </a:prstGeom>
        <a:noFill/>
        <a:ln w="9525" cmpd="sng">
          <a:noFill/>
        </a:ln>
      </xdr:spPr>
    </xdr:pic>
    <xdr:clientData/>
  </xdr:twoCellAnchor>
  <xdr:twoCellAnchor>
    <xdr:from>
      <xdr:col>1</xdr:col>
      <xdr:colOff>600075</xdr:colOff>
      <xdr:row>1</xdr:row>
      <xdr:rowOff>200025</xdr:rowOff>
    </xdr:from>
    <xdr:to>
      <xdr:col>6</xdr:col>
      <xdr:colOff>523875</xdr:colOff>
      <xdr:row>3</xdr:row>
      <xdr:rowOff>104775</xdr:rowOff>
    </xdr:to>
    <xdr:sp>
      <xdr:nvSpPr>
        <xdr:cNvPr id="4" name="TextBox 67"/>
        <xdr:cNvSpPr txBox="1">
          <a:spLocks noChangeArrowheads="1"/>
        </xdr:cNvSpPr>
      </xdr:nvSpPr>
      <xdr:spPr>
        <a:xfrm>
          <a:off x="676275" y="361950"/>
          <a:ext cx="5781675" cy="400050"/>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Westpac Self-Funding Instalments investment calculator
</a:t>
          </a:r>
          <a:r>
            <a:rPr lang="en-US" cap="none" sz="1000" b="1" i="0" u="none" baseline="0">
              <a:solidFill>
                <a:srgbClr val="FF0000"/>
              </a:solidFill>
              <a:latin typeface="Arial"/>
              <a:ea typeface="Arial"/>
              <a:cs typeface="Arial"/>
            </a:rPr>
            <a:t>INDICATIVE ONLY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4</xdr:col>
      <xdr:colOff>133350</xdr:colOff>
      <xdr:row>3</xdr:row>
      <xdr:rowOff>142875</xdr:rowOff>
    </xdr:to>
    <xdr:pic>
      <xdr:nvPicPr>
        <xdr:cNvPr id="1" name="Picture 2"/>
        <xdr:cNvPicPr preferRelativeResize="1">
          <a:picLocks noChangeAspect="1"/>
        </xdr:cNvPicPr>
      </xdr:nvPicPr>
      <xdr:blipFill>
        <a:blip r:embed="rId1"/>
        <a:stretch>
          <a:fillRect/>
        </a:stretch>
      </xdr:blipFill>
      <xdr:spPr>
        <a:xfrm>
          <a:off x="9525" y="0"/>
          <a:ext cx="3495675" cy="800100"/>
        </a:xfrm>
        <a:prstGeom prst="rect">
          <a:avLst/>
        </a:prstGeom>
        <a:noFill/>
        <a:ln w="9525" cmpd="sng">
          <a:noFill/>
        </a:ln>
      </xdr:spPr>
    </xdr:pic>
    <xdr:clientData/>
  </xdr:twoCellAnchor>
  <xdr:twoCellAnchor editAs="oneCell">
    <xdr:from>
      <xdr:col>4</xdr:col>
      <xdr:colOff>123825</xdr:colOff>
      <xdr:row>0</xdr:row>
      <xdr:rowOff>0</xdr:rowOff>
    </xdr:from>
    <xdr:to>
      <xdr:col>8</xdr:col>
      <xdr:colOff>971550</xdr:colOff>
      <xdr:row>3</xdr:row>
      <xdr:rowOff>142875</xdr:rowOff>
    </xdr:to>
    <xdr:pic>
      <xdr:nvPicPr>
        <xdr:cNvPr id="2" name="Picture 9"/>
        <xdr:cNvPicPr preferRelativeResize="1">
          <a:picLocks noChangeAspect="1"/>
        </xdr:cNvPicPr>
      </xdr:nvPicPr>
      <xdr:blipFill>
        <a:blip r:embed="rId1"/>
        <a:srcRect l="22640"/>
        <a:stretch>
          <a:fillRect/>
        </a:stretch>
      </xdr:blipFill>
      <xdr:spPr>
        <a:xfrm>
          <a:off x="3495675" y="0"/>
          <a:ext cx="4572000" cy="800100"/>
        </a:xfrm>
        <a:prstGeom prst="rect">
          <a:avLst/>
        </a:prstGeom>
        <a:noFill/>
        <a:ln w="9525" cmpd="sng">
          <a:noFill/>
        </a:ln>
      </xdr:spPr>
    </xdr:pic>
    <xdr:clientData/>
  </xdr:twoCellAnchor>
  <xdr:twoCellAnchor>
    <xdr:from>
      <xdr:col>1</xdr:col>
      <xdr:colOff>647700</xdr:colOff>
      <xdr:row>1</xdr:row>
      <xdr:rowOff>200025</xdr:rowOff>
    </xdr:from>
    <xdr:to>
      <xdr:col>8</xdr:col>
      <xdr:colOff>800100</xdr:colOff>
      <xdr:row>3</xdr:row>
      <xdr:rowOff>142875</xdr:rowOff>
    </xdr:to>
    <xdr:sp>
      <xdr:nvSpPr>
        <xdr:cNvPr id="3" name="TextBox 10"/>
        <xdr:cNvSpPr txBox="1">
          <a:spLocks noChangeArrowheads="1"/>
        </xdr:cNvSpPr>
      </xdr:nvSpPr>
      <xdr:spPr>
        <a:xfrm>
          <a:off x="771525" y="361950"/>
          <a:ext cx="7124700" cy="438150"/>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Westpac Self-Funding Instalments tax summary
</a:t>
          </a:r>
          <a:r>
            <a:rPr lang="en-US" cap="none" sz="1000" b="1" i="0" u="none" baseline="0">
              <a:solidFill>
                <a:srgbClr val="FF0000"/>
              </a:solidFill>
              <a:latin typeface="Arial"/>
              <a:ea typeface="Arial"/>
              <a:cs typeface="Arial"/>
            </a:rPr>
            <a:t>INDICATIVE ONLY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IRESS%20Market%20Technology\IRESS\ExcelAddins\ddeiress.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es"/>
    </sheetNames>
    <definedNames>
      <definedName name="DfsCell"/>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6:C19"/>
  <sheetViews>
    <sheetView showGridLines="0" showRowColHeaders="0" showZeros="0" tabSelected="1" showOutlineSymbols="0" zoomScalePageLayoutView="0" workbookViewId="0" topLeftCell="A1">
      <selection activeCell="C22" sqref="C22"/>
    </sheetView>
  </sheetViews>
  <sheetFormatPr defaultColWidth="0" defaultRowHeight="12.75"/>
  <cols>
    <col min="1" max="1" width="1.8515625" style="76" customWidth="1"/>
    <col min="2" max="2" width="2.140625" style="76" customWidth="1"/>
    <col min="3" max="3" width="168.421875" style="76" customWidth="1"/>
    <col min="4" max="4" width="9.140625" style="76" customWidth="1"/>
    <col min="5" max="16384" width="0" style="76" hidden="1" customWidth="1"/>
  </cols>
  <sheetData>
    <row r="1" ht="12.75"/>
    <row r="2" ht="12.75"/>
    <row r="3" ht="12.75"/>
    <row r="4" ht="12.75"/>
    <row r="5" ht="12.75"/>
    <row r="6" spans="1:3" s="140" customFormat="1" ht="15.75">
      <c r="A6" s="1"/>
      <c r="B6" s="1"/>
      <c r="C6" s="145" t="s">
        <v>167</v>
      </c>
    </row>
    <row r="7" spans="1:3" s="140" customFormat="1" ht="12.75">
      <c r="A7" s="1"/>
      <c r="B7" s="1"/>
      <c r="C7" s="1"/>
    </row>
    <row r="8" spans="1:3" s="140" customFormat="1" ht="15.75">
      <c r="A8" s="1"/>
      <c r="B8" s="1"/>
      <c r="C8" s="145" t="s">
        <v>193</v>
      </c>
    </row>
    <row r="9" spans="1:3" s="141" customFormat="1" ht="22.5">
      <c r="A9" s="2"/>
      <c r="B9" s="2"/>
      <c r="C9" s="2" t="s">
        <v>168</v>
      </c>
    </row>
    <row r="10" spans="1:3" s="140" customFormat="1" ht="12.75">
      <c r="A10" s="1"/>
      <c r="B10" s="1"/>
      <c r="C10" s="1"/>
    </row>
    <row r="11" spans="1:3" s="140" customFormat="1" ht="22.5">
      <c r="A11" s="1"/>
      <c r="B11" s="142">
        <v>1</v>
      </c>
      <c r="C11" s="143" t="s">
        <v>176</v>
      </c>
    </row>
    <row r="12" spans="1:3" s="140" customFormat="1" ht="22.5">
      <c r="A12" s="1"/>
      <c r="B12" s="142">
        <v>2</v>
      </c>
      <c r="C12" s="143" t="s">
        <v>170</v>
      </c>
    </row>
    <row r="13" spans="1:3" s="140" customFormat="1" ht="22.5">
      <c r="A13" s="1"/>
      <c r="B13" s="142">
        <v>3</v>
      </c>
      <c r="C13" s="143" t="s">
        <v>171</v>
      </c>
    </row>
    <row r="14" spans="1:3" s="140" customFormat="1" ht="12.75">
      <c r="A14" s="1"/>
      <c r="B14" s="142">
        <v>4</v>
      </c>
      <c r="C14" s="144" t="s">
        <v>172</v>
      </c>
    </row>
    <row r="15" spans="1:3" s="140" customFormat="1" ht="33.75" customHeight="1">
      <c r="A15" s="1"/>
      <c r="B15" s="142">
        <v>5</v>
      </c>
      <c r="C15" s="143" t="s">
        <v>173</v>
      </c>
    </row>
    <row r="16" spans="1:3" s="140" customFormat="1" ht="13.5" customHeight="1">
      <c r="A16" s="1"/>
      <c r="B16" s="142">
        <v>6</v>
      </c>
      <c r="C16" s="144" t="s">
        <v>174</v>
      </c>
    </row>
    <row r="17" spans="1:3" s="140" customFormat="1" ht="35.25" customHeight="1">
      <c r="A17" s="1"/>
      <c r="B17" s="142">
        <v>7</v>
      </c>
      <c r="C17" s="143" t="s">
        <v>175</v>
      </c>
    </row>
    <row r="18" spans="1:3" s="140" customFormat="1" ht="12.75">
      <c r="A18" s="1"/>
      <c r="B18" s="1"/>
      <c r="C18" s="1"/>
    </row>
    <row r="19" spans="1:3" s="140" customFormat="1" ht="12.75">
      <c r="A19" s="1"/>
      <c r="B19" s="1" t="s">
        <v>169</v>
      </c>
      <c r="C19" s="1"/>
    </row>
    <row r="22" ht="12.75"/>
    <row r="23" ht="12.75"/>
    <row r="24" ht="12.75"/>
    <row r="25" ht="12.75"/>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dimension ref="A6:A24"/>
  <sheetViews>
    <sheetView showGridLines="0" showRowColHeaders="0" showZeros="0" showOutlineSymbols="0" zoomScalePageLayoutView="0" workbookViewId="0" topLeftCell="A1">
      <selection activeCell="A36" sqref="A36"/>
    </sheetView>
  </sheetViews>
  <sheetFormatPr defaultColWidth="9.140625" defaultRowHeight="12.75"/>
  <cols>
    <col min="1" max="1" width="121.140625" style="0" customWidth="1"/>
  </cols>
  <sheetData>
    <row r="1" s="76" customFormat="1" ht="12.75"/>
    <row r="2" s="76" customFormat="1" ht="12.75"/>
    <row r="3" s="76" customFormat="1" ht="12.75"/>
    <row r="4" s="76" customFormat="1" ht="12.75"/>
    <row r="5" s="76" customFormat="1" ht="12.75"/>
    <row r="6" s="140" customFormat="1" ht="15.75">
      <c r="A6" s="145"/>
    </row>
    <row r="7" s="140" customFormat="1" ht="31.5">
      <c r="A7" s="146" t="s">
        <v>194</v>
      </c>
    </row>
    <row r="8" s="140" customFormat="1" ht="12.75">
      <c r="A8" s="1"/>
    </row>
    <row r="9" s="141" customFormat="1" ht="12.75">
      <c r="A9" s="2"/>
    </row>
    <row r="10" s="140" customFormat="1" ht="25.5">
      <c r="A10" s="141" t="s">
        <v>195</v>
      </c>
    </row>
    <row r="11" s="140" customFormat="1" ht="12.75">
      <c r="A11" s="1"/>
    </row>
    <row r="12" s="140" customFormat="1" ht="12.75">
      <c r="A12" s="1"/>
    </row>
    <row r="13" s="140" customFormat="1" ht="12.75">
      <c r="A13" s="147" t="s">
        <v>196</v>
      </c>
    </row>
    <row r="14" s="140" customFormat="1" ht="12.75">
      <c r="A14" s="1"/>
    </row>
    <row r="15" s="140" customFormat="1" ht="76.5">
      <c r="A15" s="141" t="s">
        <v>197</v>
      </c>
    </row>
    <row r="16" s="140" customFormat="1" ht="13.5" customHeight="1">
      <c r="A16" s="1"/>
    </row>
    <row r="17" s="140" customFormat="1" ht="35.25" customHeight="1">
      <c r="A17" s="1"/>
    </row>
    <row r="18" s="140" customFormat="1" ht="12.75">
      <c r="A18" s="147" t="s">
        <v>198</v>
      </c>
    </row>
    <row r="19" s="140" customFormat="1" ht="12.75">
      <c r="A19" s="1"/>
    </row>
    <row r="20" ht="12.75">
      <c r="A20" t="s">
        <v>200</v>
      </c>
    </row>
    <row r="22" ht="12.75">
      <c r="A22" t="s">
        <v>199</v>
      </c>
    </row>
    <row r="24" ht="12.75">
      <c r="A24" t="s">
        <v>201</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A3:CE47"/>
  <sheetViews>
    <sheetView showGridLines="0" zoomScalePageLayoutView="0" workbookViewId="0" topLeftCell="A1">
      <selection activeCell="X8" sqref="A8:X8"/>
    </sheetView>
  </sheetViews>
  <sheetFormatPr defaultColWidth="9.140625" defaultRowHeight="12.75"/>
  <cols>
    <col min="1" max="2" width="20.00390625" style="1" customWidth="1"/>
    <col min="3" max="3" width="13.140625" style="2" customWidth="1"/>
    <col min="4" max="4" width="11.421875" style="2" customWidth="1"/>
    <col min="5" max="13" width="9.140625" style="2" customWidth="1"/>
    <col min="14" max="14" width="10.00390625" style="2" bestFit="1" customWidth="1"/>
    <col min="15" max="20" width="10.00390625" style="60" customWidth="1"/>
    <col min="21" max="25" width="10.00390625" style="2" customWidth="1"/>
    <col min="26" max="26" width="10.00390625" style="2" bestFit="1" customWidth="1"/>
    <col min="27" max="83" width="9.140625" style="2" customWidth="1"/>
    <col min="84" max="16384" width="9.140625" style="1" customWidth="1"/>
  </cols>
  <sheetData>
    <row r="3" spans="1:2" ht="23.25">
      <c r="A3" s="3" t="s">
        <v>10</v>
      </c>
      <c r="B3" s="3"/>
    </row>
    <row r="4" spans="1:3" ht="23.25">
      <c r="A4" s="115">
        <v>40784</v>
      </c>
      <c r="B4" s="4"/>
      <c r="C4" s="4"/>
    </row>
    <row r="5" ht="12" thickBot="1"/>
    <row r="6" spans="1:83" s="6" customFormat="1" ht="56.25">
      <c r="A6" s="7"/>
      <c r="B6" s="8"/>
      <c r="C6" s="8"/>
      <c r="D6" s="8"/>
      <c r="E6" s="8"/>
      <c r="F6" s="8"/>
      <c r="G6" s="8"/>
      <c r="H6" s="8"/>
      <c r="I6" s="8"/>
      <c r="J6" s="8"/>
      <c r="K6" s="8"/>
      <c r="L6" s="8"/>
      <c r="M6" s="8"/>
      <c r="N6" s="8"/>
      <c r="O6" s="61" t="s">
        <v>156</v>
      </c>
      <c r="P6" s="61" t="s">
        <v>157</v>
      </c>
      <c r="Q6" s="61" t="s">
        <v>157</v>
      </c>
      <c r="R6" s="61" t="s">
        <v>157</v>
      </c>
      <c r="S6" s="61" t="s">
        <v>157</v>
      </c>
      <c r="T6" s="61" t="s">
        <v>157</v>
      </c>
      <c r="U6" s="9"/>
      <c r="V6" s="9" t="s">
        <v>75</v>
      </c>
      <c r="W6" s="9" t="s">
        <v>76</v>
      </c>
      <c r="X6" s="9" t="s">
        <v>178</v>
      </c>
      <c r="Y6" s="9" t="s">
        <v>77</v>
      </c>
      <c r="Z6" s="9" t="s">
        <v>47</v>
      </c>
      <c r="AA6" s="9" t="s">
        <v>47</v>
      </c>
      <c r="AB6" s="9" t="s">
        <v>47</v>
      </c>
      <c r="AC6" s="9" t="s">
        <v>47</v>
      </c>
      <c r="AD6" s="9" t="s">
        <v>47</v>
      </c>
      <c r="AE6" s="58" t="s">
        <v>54</v>
      </c>
      <c r="AF6" s="58" t="s">
        <v>54</v>
      </c>
      <c r="AG6" s="58" t="s">
        <v>54</v>
      </c>
      <c r="AH6" s="58" t="s">
        <v>54</v>
      </c>
      <c r="AI6" s="58" t="s">
        <v>54</v>
      </c>
      <c r="AJ6" s="65" t="s">
        <v>53</v>
      </c>
      <c r="AK6" s="65" t="s">
        <v>53</v>
      </c>
      <c r="AL6" s="65" t="s">
        <v>53</v>
      </c>
      <c r="AM6" s="65" t="s">
        <v>53</v>
      </c>
      <c r="AN6" s="66" t="s">
        <v>53</v>
      </c>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1:83" s="6" customFormat="1" ht="48" customHeight="1">
      <c r="A7" s="10" t="s">
        <v>0</v>
      </c>
      <c r="B7" s="11" t="s">
        <v>122</v>
      </c>
      <c r="C7" s="11" t="s">
        <v>1</v>
      </c>
      <c r="D7" s="11" t="s">
        <v>2</v>
      </c>
      <c r="E7" s="11" t="s">
        <v>3</v>
      </c>
      <c r="F7" s="11" t="s">
        <v>4</v>
      </c>
      <c r="G7" s="11" t="s">
        <v>5</v>
      </c>
      <c r="H7" s="11" t="s">
        <v>44</v>
      </c>
      <c r="I7" s="11" t="s">
        <v>6</v>
      </c>
      <c r="J7" s="11" t="s">
        <v>7</v>
      </c>
      <c r="K7" s="11" t="s">
        <v>8</v>
      </c>
      <c r="L7" s="11" t="s">
        <v>9</v>
      </c>
      <c r="M7" s="11" t="s">
        <v>45</v>
      </c>
      <c r="N7" s="11" t="s">
        <v>46</v>
      </c>
      <c r="O7" s="62"/>
      <c r="P7" s="62" t="s">
        <v>52</v>
      </c>
      <c r="Q7" s="62" t="s">
        <v>48</v>
      </c>
      <c r="R7" s="62" t="s">
        <v>49</v>
      </c>
      <c r="S7" s="62" t="s">
        <v>50</v>
      </c>
      <c r="T7" s="62" t="s">
        <v>51</v>
      </c>
      <c r="U7" s="12" t="s">
        <v>58</v>
      </c>
      <c r="V7" s="12" t="s">
        <v>75</v>
      </c>
      <c r="W7" s="12" t="s">
        <v>76</v>
      </c>
      <c r="X7" s="12" t="s">
        <v>179</v>
      </c>
      <c r="Y7" s="12" t="s">
        <v>180</v>
      </c>
      <c r="Z7" s="12" t="s">
        <v>52</v>
      </c>
      <c r="AA7" s="12" t="s">
        <v>48</v>
      </c>
      <c r="AB7" s="12" t="s">
        <v>49</v>
      </c>
      <c r="AC7" s="12" t="s">
        <v>50</v>
      </c>
      <c r="AD7" s="12" t="s">
        <v>51</v>
      </c>
      <c r="AE7" s="59" t="s">
        <v>52</v>
      </c>
      <c r="AF7" s="59" t="s">
        <v>48</v>
      </c>
      <c r="AG7" s="59" t="s">
        <v>49</v>
      </c>
      <c r="AH7" s="59" t="s">
        <v>50</v>
      </c>
      <c r="AI7" s="59" t="s">
        <v>51</v>
      </c>
      <c r="AJ7" s="67" t="s">
        <v>52</v>
      </c>
      <c r="AK7" s="67" t="s">
        <v>48</v>
      </c>
      <c r="AL7" s="67" t="s">
        <v>49</v>
      </c>
      <c r="AM7" s="67" t="s">
        <v>50</v>
      </c>
      <c r="AN7" s="68" t="s">
        <v>51</v>
      </c>
      <c r="AO7" s="5"/>
      <c r="AP7" s="5"/>
      <c r="AQ7" s="5"/>
      <c r="AR7" s="5" t="str">
        <f>[1]!DfsCell("Dividend",7.18,'SFI details (0)'!$B$8:$B$46,4,,,,,,"1-Jan-1990","28-Jul-2011",2,TRUE,FALSE,FALSE,"0*2*3*5")</f>
        <v>Dividend: (B8:B46)</v>
      </c>
      <c r="AS7" s="5" t="s">
        <v>108</v>
      </c>
      <c r="AT7" s="5" t="s">
        <v>109</v>
      </c>
      <c r="AU7" s="5" t="s">
        <v>110</v>
      </c>
      <c r="AV7" s="5" t="s">
        <v>111</v>
      </c>
      <c r="AW7" s="5" t="s">
        <v>112</v>
      </c>
      <c r="AX7" s="5" t="s">
        <v>113</v>
      </c>
      <c r="AY7" s="5" t="s">
        <v>114</v>
      </c>
      <c r="AZ7" s="5" t="s">
        <v>115</v>
      </c>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row>
    <row r="8" spans="1:52" ht="11.25">
      <c r="A8" s="13" t="s">
        <v>116</v>
      </c>
      <c r="B8" s="37" t="str">
        <f aca="true" t="shared" si="0" ref="B8:B46">LEFT(A8,3)</f>
        <v>AGK</v>
      </c>
      <c r="C8" s="112">
        <v>15.010000228881836</v>
      </c>
      <c r="D8" s="112">
        <v>7.5</v>
      </c>
      <c r="E8" s="112">
        <v>8.696726220394225</v>
      </c>
      <c r="F8" s="14">
        <v>41090</v>
      </c>
      <c r="G8" s="14">
        <v>42551</v>
      </c>
      <c r="H8" s="15">
        <f aca="true" t="shared" si="1" ref="H8:H46">F8-$A$4</f>
        <v>306</v>
      </c>
      <c r="I8" s="15">
        <f aca="true" t="shared" si="2" ref="I8:I46">G8-$A$4</f>
        <v>1767</v>
      </c>
      <c r="J8" s="106" t="e">
        <f>HLOOKUP(A8,'Investment Details (1)'!$C$8:$Z$36,11,FALSE)</f>
        <v>#N/A</v>
      </c>
      <c r="K8" s="16">
        <f aca="true" t="shared" si="3" ref="K8:K46">E8-(C8-D8)</f>
        <v>1.1867259915123896</v>
      </c>
      <c r="L8" s="16" t="e">
        <f aca="true" t="shared" si="4" ref="L8:L46">D8*J8*H8/365</f>
        <v>#N/A</v>
      </c>
      <c r="M8" s="16" t="e">
        <f aca="true" t="shared" si="5" ref="M8:M46">K8-L8</f>
        <v>#N/A</v>
      </c>
      <c r="N8" s="17" t="e">
        <f aca="true" t="shared" si="6" ref="N8:N46">M8/D8/(I8/365)</f>
        <v>#N/A</v>
      </c>
      <c r="O8" s="75" t="e">
        <f>HLOOKUP(A8,'Investment Details (1)'!$C$8:$Z$36,15,FALSE)</f>
        <v>#N/A</v>
      </c>
      <c r="P8" s="63" t="e">
        <f>C8*(1+$O8)</f>
        <v>#N/A</v>
      </c>
      <c r="Q8" s="63" t="e">
        <f aca="true" t="shared" si="7" ref="Q8:T27">P8*(1+$O8)</f>
        <v>#N/A</v>
      </c>
      <c r="R8" s="63" t="e">
        <f t="shared" si="7"/>
        <v>#N/A</v>
      </c>
      <c r="S8" s="63" t="e">
        <f t="shared" si="7"/>
        <v>#N/A</v>
      </c>
      <c r="T8" s="63" t="e">
        <f t="shared" si="7"/>
        <v>#N/A</v>
      </c>
      <c r="U8" s="31">
        <f>AV8/100</f>
        <v>0</v>
      </c>
      <c r="V8" s="36">
        <f>AY8/100</f>
        <v>0.3</v>
      </c>
      <c r="W8" s="36">
        <f>AU8/100</f>
        <v>0.29</v>
      </c>
      <c r="X8" s="31">
        <f>(V8+W8)/C8</f>
        <v>0.03930712798156644</v>
      </c>
      <c r="Y8" s="111" t="e">
        <f>HLOOKUP(A8,'Investment Details (1)'!$C$8:$Z$36,12,FALSE)</f>
        <v>#N/A</v>
      </c>
      <c r="Z8" s="18" t="e">
        <f>P8*Y8</f>
        <v>#N/A</v>
      </c>
      <c r="AA8" s="18" t="e">
        <f>Q8*Y8</f>
        <v>#N/A</v>
      </c>
      <c r="AB8" s="18" t="e">
        <f>R8*Y8</f>
        <v>#N/A</v>
      </c>
      <c r="AC8" s="18" t="e">
        <f>S8*Y8</f>
        <v>#N/A</v>
      </c>
      <c r="AD8" s="18" t="e">
        <f>T8*Y8</f>
        <v>#N/A</v>
      </c>
      <c r="AE8" s="64" t="e">
        <f>AJ8*J8</f>
        <v>#N/A</v>
      </c>
      <c r="AF8" s="64" t="e">
        <f>AK8*J8</f>
        <v>#N/A</v>
      </c>
      <c r="AG8" s="64" t="e">
        <f>AL8*J8</f>
        <v>#N/A</v>
      </c>
      <c r="AH8" s="64" t="e">
        <f>AM8*J8</f>
        <v>#N/A</v>
      </c>
      <c r="AI8" s="64">
        <v>0</v>
      </c>
      <c r="AJ8" s="69" t="e">
        <f aca="true" t="shared" si="8" ref="AJ8:AJ46">$D8-Z8</f>
        <v>#N/A</v>
      </c>
      <c r="AK8" s="69" t="e">
        <f aca="true" t="shared" si="9" ref="AK8:AK46">AJ8+AE8-AA8</f>
        <v>#N/A</v>
      </c>
      <c r="AL8" s="69" t="e">
        <f aca="true" t="shared" si="10" ref="AL8:AL46">AK8+AF8-AB8</f>
        <v>#N/A</v>
      </c>
      <c r="AM8" s="69" t="e">
        <f aca="true" t="shared" si="11" ref="AM8:AM46">AL8+AG8-AC8</f>
        <v>#N/A</v>
      </c>
      <c r="AN8" s="70" t="e">
        <f aca="true" t="shared" si="12" ref="AN8:AN46">AM8+AH8-AD8</f>
        <v>#N/A</v>
      </c>
      <c r="AS8" s="35" t="s">
        <v>123</v>
      </c>
      <c r="AT8" s="35">
        <v>40620</v>
      </c>
      <c r="AU8" s="2">
        <v>29</v>
      </c>
      <c r="AV8" s="2">
        <v>0</v>
      </c>
      <c r="AW8" s="35" t="s">
        <v>123</v>
      </c>
      <c r="AX8" s="35">
        <v>40427</v>
      </c>
      <c r="AY8" s="2">
        <v>30</v>
      </c>
      <c r="AZ8" s="2">
        <v>0</v>
      </c>
    </row>
    <row r="9" spans="1:52" ht="11.25">
      <c r="A9" s="13" t="s">
        <v>11</v>
      </c>
      <c r="B9" s="37" t="str">
        <f t="shared" si="0"/>
        <v>AMP</v>
      </c>
      <c r="C9" s="112">
        <v>4.269999980926514</v>
      </c>
      <c r="D9" s="112">
        <v>2.7476</v>
      </c>
      <c r="E9" s="112">
        <v>2.252583440762549</v>
      </c>
      <c r="F9" s="14">
        <v>41090</v>
      </c>
      <c r="G9" s="14">
        <v>42551</v>
      </c>
      <c r="H9" s="15">
        <f t="shared" si="1"/>
        <v>306</v>
      </c>
      <c r="I9" s="15">
        <f t="shared" si="2"/>
        <v>1767</v>
      </c>
      <c r="J9" s="106" t="e">
        <f>HLOOKUP(A9,'Investment Details (1)'!$C$8:$Z$36,11,FALSE)</f>
        <v>#N/A</v>
      </c>
      <c r="K9" s="16">
        <f t="shared" si="3"/>
        <v>0.7301834598360353</v>
      </c>
      <c r="L9" s="16" t="e">
        <f t="shared" si="4"/>
        <v>#N/A</v>
      </c>
      <c r="M9" s="16" t="e">
        <f t="shared" si="5"/>
        <v>#N/A</v>
      </c>
      <c r="N9" s="17" t="e">
        <f t="shared" si="6"/>
        <v>#N/A</v>
      </c>
      <c r="O9" s="75" t="e">
        <f>HLOOKUP(A9,'Investment Details (1)'!$C$8:$Z$36,15,FALSE)</f>
        <v>#N/A</v>
      </c>
      <c r="P9" s="63" t="e">
        <f aca="true" t="shared" si="13" ref="P9:P46">C9*(1+$O9)</f>
        <v>#N/A</v>
      </c>
      <c r="Q9" s="63" t="e">
        <f t="shared" si="7"/>
        <v>#N/A</v>
      </c>
      <c r="R9" s="63" t="e">
        <f t="shared" si="7"/>
        <v>#N/A</v>
      </c>
      <c r="S9" s="63" t="e">
        <f t="shared" si="7"/>
        <v>#N/A</v>
      </c>
      <c r="T9" s="63" t="e">
        <f t="shared" si="7"/>
        <v>#N/A</v>
      </c>
      <c r="U9" s="31">
        <f aca="true" t="shared" si="14" ref="U9:U46">AV9/100</f>
        <v>0.6</v>
      </c>
      <c r="V9" s="36">
        <f aca="true" t="shared" si="15" ref="V9:V46">AY9/100</f>
        <v>0.15</v>
      </c>
      <c r="W9" s="36">
        <f aca="true" t="shared" si="16" ref="W9:W46">AU9/100</f>
        <v>0.15</v>
      </c>
      <c r="X9" s="31">
        <f aca="true" t="shared" si="17" ref="X9:X46">(V9+W9)/C9</f>
        <v>0.07025761155504862</v>
      </c>
      <c r="Y9" s="111" t="e">
        <f>HLOOKUP(A9,'Investment Details (1)'!$C$8:$Z$36,12,FALSE)</f>
        <v>#N/A</v>
      </c>
      <c r="Z9" s="18" t="e">
        <f aca="true" t="shared" si="18" ref="Z9:Z46">P9*Y9</f>
        <v>#N/A</v>
      </c>
      <c r="AA9" s="18" t="e">
        <f aca="true" t="shared" si="19" ref="AA9:AA46">Q9*Y9</f>
        <v>#N/A</v>
      </c>
      <c r="AB9" s="18" t="e">
        <f aca="true" t="shared" si="20" ref="AB9:AB46">R9*Y9</f>
        <v>#N/A</v>
      </c>
      <c r="AC9" s="18" t="e">
        <f aca="true" t="shared" si="21" ref="AC9:AC46">S9*Y9</f>
        <v>#N/A</v>
      </c>
      <c r="AD9" s="18" t="e">
        <f aca="true" t="shared" si="22" ref="AD9:AD46">T9*Y9</f>
        <v>#N/A</v>
      </c>
      <c r="AE9" s="64" t="e">
        <f>AJ9*J9</f>
        <v>#N/A</v>
      </c>
      <c r="AF9" s="64" t="e">
        <f>AK9*J9</f>
        <v>#N/A</v>
      </c>
      <c r="AG9" s="64" t="e">
        <f>AL9*J9</f>
        <v>#N/A</v>
      </c>
      <c r="AH9" s="64" t="e">
        <f>AM9*J9</f>
        <v>#N/A</v>
      </c>
      <c r="AI9" s="64">
        <v>0</v>
      </c>
      <c r="AJ9" s="69" t="e">
        <f t="shared" si="8"/>
        <v>#N/A</v>
      </c>
      <c r="AK9" s="69" t="e">
        <f t="shared" si="9"/>
        <v>#N/A</v>
      </c>
      <c r="AL9" s="69" t="e">
        <f t="shared" si="10"/>
        <v>#N/A</v>
      </c>
      <c r="AM9" s="69" t="e">
        <f t="shared" si="11"/>
        <v>#N/A</v>
      </c>
      <c r="AN9" s="70" t="e">
        <f t="shared" si="12"/>
        <v>#N/A</v>
      </c>
      <c r="AS9" s="35" t="s">
        <v>78</v>
      </c>
      <c r="AT9" s="35">
        <v>40602</v>
      </c>
      <c r="AU9" s="2">
        <v>15</v>
      </c>
      <c r="AV9" s="2">
        <v>60</v>
      </c>
      <c r="AW9" s="35" t="s">
        <v>78</v>
      </c>
      <c r="AX9" s="35">
        <v>40427</v>
      </c>
      <c r="AY9" s="2">
        <v>15</v>
      </c>
      <c r="AZ9" s="2">
        <v>60</v>
      </c>
    </row>
    <row r="10" spans="1:52" ht="11.25">
      <c r="A10" s="13" t="s">
        <v>12</v>
      </c>
      <c r="B10" s="37" t="str">
        <f t="shared" si="0"/>
        <v>ANZ</v>
      </c>
      <c r="C10" s="112">
        <v>19.850000381469727</v>
      </c>
      <c r="D10" s="112">
        <v>12.2404</v>
      </c>
      <c r="E10" s="112">
        <v>10.632803553841049</v>
      </c>
      <c r="F10" s="14">
        <v>41090</v>
      </c>
      <c r="G10" s="14">
        <v>42551</v>
      </c>
      <c r="H10" s="15">
        <f t="shared" si="1"/>
        <v>306</v>
      </c>
      <c r="I10" s="15">
        <f t="shared" si="2"/>
        <v>1767</v>
      </c>
      <c r="J10" s="106" t="e">
        <f>HLOOKUP(A10,'Investment Details (1)'!$C$8:$Z$36,11,FALSE)</f>
        <v>#N/A</v>
      </c>
      <c r="K10" s="16">
        <f t="shared" si="3"/>
        <v>3.0232031723713213</v>
      </c>
      <c r="L10" s="16" t="e">
        <f t="shared" si="4"/>
        <v>#N/A</v>
      </c>
      <c r="M10" s="16" t="e">
        <f t="shared" si="5"/>
        <v>#N/A</v>
      </c>
      <c r="N10" s="17" t="e">
        <f t="shared" si="6"/>
        <v>#N/A</v>
      </c>
      <c r="O10" s="75" t="e">
        <f>HLOOKUP(A10,'Investment Details (1)'!$C$8:$Z$36,15,FALSE)</f>
        <v>#N/A</v>
      </c>
      <c r="P10" s="63" t="e">
        <f t="shared" si="13"/>
        <v>#N/A</v>
      </c>
      <c r="Q10" s="63" t="e">
        <f t="shared" si="7"/>
        <v>#N/A</v>
      </c>
      <c r="R10" s="63" t="e">
        <f t="shared" si="7"/>
        <v>#N/A</v>
      </c>
      <c r="S10" s="63" t="e">
        <f t="shared" si="7"/>
        <v>#N/A</v>
      </c>
      <c r="T10" s="63" t="e">
        <f t="shared" si="7"/>
        <v>#N/A</v>
      </c>
      <c r="U10" s="31">
        <f t="shared" si="14"/>
        <v>1</v>
      </c>
      <c r="V10" s="36">
        <f t="shared" si="15"/>
        <v>0.74</v>
      </c>
      <c r="W10" s="36">
        <f t="shared" si="16"/>
        <v>0.64</v>
      </c>
      <c r="X10" s="31">
        <f t="shared" si="17"/>
        <v>0.06952140924330917</v>
      </c>
      <c r="Y10" s="111" t="e">
        <f>HLOOKUP(A10,'Investment Details (1)'!$C$8:$Z$36,12,FALSE)</f>
        <v>#N/A</v>
      </c>
      <c r="Z10" s="18" t="e">
        <f t="shared" si="18"/>
        <v>#N/A</v>
      </c>
      <c r="AA10" s="18" t="e">
        <f t="shared" si="19"/>
        <v>#N/A</v>
      </c>
      <c r="AB10" s="18" t="e">
        <f t="shared" si="20"/>
        <v>#N/A</v>
      </c>
      <c r="AC10" s="18" t="e">
        <f t="shared" si="21"/>
        <v>#N/A</v>
      </c>
      <c r="AD10" s="18" t="e">
        <f t="shared" si="22"/>
        <v>#N/A</v>
      </c>
      <c r="AE10" s="64" t="e">
        <f>AJ10*J10</f>
        <v>#N/A</v>
      </c>
      <c r="AF10" s="64" t="e">
        <f>AK10*J10</f>
        <v>#N/A</v>
      </c>
      <c r="AG10" s="64" t="e">
        <f>AL10*J10</f>
        <v>#N/A</v>
      </c>
      <c r="AH10" s="64" t="e">
        <f>AM10*J10</f>
        <v>#N/A</v>
      </c>
      <c r="AI10" s="64">
        <v>0</v>
      </c>
      <c r="AJ10" s="69" t="e">
        <f t="shared" si="8"/>
        <v>#N/A</v>
      </c>
      <c r="AK10" s="69" t="e">
        <f t="shared" si="9"/>
        <v>#N/A</v>
      </c>
      <c r="AL10" s="69" t="e">
        <f t="shared" si="10"/>
        <v>#N/A</v>
      </c>
      <c r="AM10" s="69" t="e">
        <f t="shared" si="11"/>
        <v>#N/A</v>
      </c>
      <c r="AN10" s="70" t="e">
        <f t="shared" si="12"/>
        <v>#N/A</v>
      </c>
      <c r="AS10" s="35" t="s">
        <v>79</v>
      </c>
      <c r="AT10" s="35">
        <v>40675</v>
      </c>
      <c r="AU10" s="2">
        <v>64</v>
      </c>
      <c r="AV10" s="2">
        <v>100</v>
      </c>
      <c r="AW10" s="35" t="s">
        <v>79</v>
      </c>
      <c r="AX10" s="35">
        <v>40486</v>
      </c>
      <c r="AY10" s="2">
        <v>74</v>
      </c>
      <c r="AZ10" s="2">
        <v>100</v>
      </c>
    </row>
    <row r="11" spans="1:52" ht="11.25">
      <c r="A11" s="13" t="s">
        <v>13</v>
      </c>
      <c r="B11" s="37" t="str">
        <f t="shared" si="0"/>
        <v>BHP</v>
      </c>
      <c r="C11" s="112">
        <v>38.63999938964844</v>
      </c>
      <c r="D11" s="112">
        <v>24.289</v>
      </c>
      <c r="E11" s="112">
        <v>21.609765558019724</v>
      </c>
      <c r="F11" s="14">
        <v>41090</v>
      </c>
      <c r="G11" s="14">
        <v>42551</v>
      </c>
      <c r="H11" s="15">
        <f t="shared" si="1"/>
        <v>306</v>
      </c>
      <c r="I11" s="15">
        <f t="shared" si="2"/>
        <v>1767</v>
      </c>
      <c r="J11" s="106" t="e">
        <f>HLOOKUP(A11,'Investment Details (1)'!$C$8:$Z$36,11,FALSE)</f>
        <v>#N/A</v>
      </c>
      <c r="K11" s="16">
        <f t="shared" si="3"/>
        <v>7.258766168371288</v>
      </c>
      <c r="L11" s="16" t="e">
        <f t="shared" si="4"/>
        <v>#N/A</v>
      </c>
      <c r="M11" s="16" t="e">
        <f t="shared" si="5"/>
        <v>#N/A</v>
      </c>
      <c r="N11" s="17" t="e">
        <f t="shared" si="6"/>
        <v>#N/A</v>
      </c>
      <c r="O11" s="75" t="e">
        <f>HLOOKUP(A11,'Investment Details (1)'!$C$8:$Z$36,15,FALSE)</f>
        <v>#N/A</v>
      </c>
      <c r="P11" s="63" t="e">
        <f t="shared" si="13"/>
        <v>#N/A</v>
      </c>
      <c r="Q11" s="63" t="e">
        <f t="shared" si="7"/>
        <v>#N/A</v>
      </c>
      <c r="R11" s="63" t="e">
        <f t="shared" si="7"/>
        <v>#N/A</v>
      </c>
      <c r="S11" s="63" t="e">
        <f t="shared" si="7"/>
        <v>#N/A</v>
      </c>
      <c r="T11" s="63" t="e">
        <f t="shared" si="7"/>
        <v>#N/A</v>
      </c>
      <c r="U11" s="31">
        <f t="shared" si="14"/>
        <v>1</v>
      </c>
      <c r="V11" s="36">
        <f t="shared" si="15"/>
        <v>0.486494</v>
      </c>
      <c r="W11" s="36">
        <f t="shared" si="16"/>
        <v>0.45935899999999996</v>
      </c>
      <c r="X11" s="31">
        <f t="shared" si="17"/>
        <v>0.024478597695148818</v>
      </c>
      <c r="Y11" s="111" t="e">
        <f>HLOOKUP(A11,'Investment Details (1)'!$C$8:$Z$36,12,FALSE)</f>
        <v>#N/A</v>
      </c>
      <c r="Z11" s="18" t="e">
        <f t="shared" si="18"/>
        <v>#N/A</v>
      </c>
      <c r="AA11" s="18" t="e">
        <f t="shared" si="19"/>
        <v>#N/A</v>
      </c>
      <c r="AB11" s="18" t="e">
        <f t="shared" si="20"/>
        <v>#N/A</v>
      </c>
      <c r="AC11" s="18" t="e">
        <f t="shared" si="21"/>
        <v>#N/A</v>
      </c>
      <c r="AD11" s="18" t="e">
        <f t="shared" si="22"/>
        <v>#N/A</v>
      </c>
      <c r="AE11" s="64" t="e">
        <f>AJ11*J11</f>
        <v>#N/A</v>
      </c>
      <c r="AF11" s="64" t="e">
        <f>AK11*J11</f>
        <v>#N/A</v>
      </c>
      <c r="AG11" s="64" t="e">
        <f>AL11*J11</f>
        <v>#N/A</v>
      </c>
      <c r="AH11" s="64" t="e">
        <f>AM11*J11</f>
        <v>#N/A</v>
      </c>
      <c r="AI11" s="64">
        <v>0</v>
      </c>
      <c r="AJ11" s="69" t="e">
        <f t="shared" si="8"/>
        <v>#N/A</v>
      </c>
      <c r="AK11" s="69" t="e">
        <f t="shared" si="9"/>
        <v>#N/A</v>
      </c>
      <c r="AL11" s="69" t="e">
        <f t="shared" si="10"/>
        <v>#N/A</v>
      </c>
      <c r="AM11" s="69" t="e">
        <f t="shared" si="11"/>
        <v>#N/A</v>
      </c>
      <c r="AN11" s="70" t="e">
        <f t="shared" si="12"/>
        <v>#N/A</v>
      </c>
      <c r="AS11" s="35" t="s">
        <v>80</v>
      </c>
      <c r="AT11" s="35">
        <v>40609</v>
      </c>
      <c r="AU11" s="2">
        <v>45.9359</v>
      </c>
      <c r="AV11" s="2">
        <v>100</v>
      </c>
      <c r="AW11" s="35" t="s">
        <v>80</v>
      </c>
      <c r="AX11" s="35">
        <v>40427</v>
      </c>
      <c r="AY11" s="2">
        <v>48.6494</v>
      </c>
      <c r="AZ11" s="2">
        <v>100</v>
      </c>
    </row>
    <row r="12" spans="1:50" ht="11.25">
      <c r="A12" s="13" t="s">
        <v>14</v>
      </c>
      <c r="B12" s="37" t="str">
        <f t="shared" si="0"/>
        <v>BSL</v>
      </c>
      <c r="C12" s="112">
        <v>0</v>
      </c>
      <c r="D12" s="112">
        <v>0</v>
      </c>
      <c r="E12" s="112">
        <v>0</v>
      </c>
      <c r="F12" s="14">
        <v>41090</v>
      </c>
      <c r="G12" s="14">
        <v>42551</v>
      </c>
      <c r="H12" s="15">
        <f t="shared" si="1"/>
        <v>306</v>
      </c>
      <c r="I12" s="15">
        <f t="shared" si="2"/>
        <v>1767</v>
      </c>
      <c r="J12" s="106" t="e">
        <f>HLOOKUP(A12,'Investment Details (1)'!$C$8:$Z$36,11,FALSE)</f>
        <v>#N/A</v>
      </c>
      <c r="K12" s="16">
        <f t="shared" si="3"/>
        <v>0</v>
      </c>
      <c r="L12" s="16"/>
      <c r="M12" s="16"/>
      <c r="N12" s="17"/>
      <c r="O12" s="75"/>
      <c r="P12" s="63"/>
      <c r="Q12" s="63"/>
      <c r="R12" s="63"/>
      <c r="S12" s="63"/>
      <c r="T12" s="63"/>
      <c r="U12" s="31">
        <f t="shared" si="14"/>
        <v>0</v>
      </c>
      <c r="V12" s="36">
        <f t="shared" si="15"/>
        <v>0</v>
      </c>
      <c r="W12" s="36">
        <f t="shared" si="16"/>
        <v>0</v>
      </c>
      <c r="X12" s="31" t="e">
        <f t="shared" si="17"/>
        <v>#DIV/0!</v>
      </c>
      <c r="Y12" s="111" t="e">
        <f>HLOOKUP(A12,'Investment Details (1)'!$C$8:$Z$36,12,FALSE)</f>
        <v>#N/A</v>
      </c>
      <c r="Z12" s="18" t="e">
        <f t="shared" si="18"/>
        <v>#N/A</v>
      </c>
      <c r="AA12" s="18" t="e">
        <f t="shared" si="19"/>
        <v>#N/A</v>
      </c>
      <c r="AB12" s="18" t="e">
        <f t="shared" si="20"/>
        <v>#N/A</v>
      </c>
      <c r="AC12" s="18" t="e">
        <f t="shared" si="21"/>
        <v>#N/A</v>
      </c>
      <c r="AD12" s="18" t="e">
        <f t="shared" si="22"/>
        <v>#N/A</v>
      </c>
      <c r="AE12" s="64" t="e">
        <f>AJ12*J12</f>
        <v>#N/A</v>
      </c>
      <c r="AF12" s="64" t="e">
        <f>AK12*J12</f>
        <v>#N/A</v>
      </c>
      <c r="AG12" s="64" t="e">
        <f>AL12*J12</f>
        <v>#N/A</v>
      </c>
      <c r="AH12" s="64" t="e">
        <f>AM12*J12</f>
        <v>#N/A</v>
      </c>
      <c r="AI12" s="64"/>
      <c r="AJ12" s="69"/>
      <c r="AK12" s="69"/>
      <c r="AL12" s="69"/>
      <c r="AM12" s="69"/>
      <c r="AN12" s="70"/>
      <c r="AS12" s="35"/>
      <c r="AT12" s="35"/>
      <c r="AW12" s="35"/>
      <c r="AX12" s="35"/>
    </row>
    <row r="13" spans="1:52" ht="11.25">
      <c r="A13" s="13" t="s">
        <v>15</v>
      </c>
      <c r="B13" s="37" t="str">
        <f t="shared" si="0"/>
        <v>BXB</v>
      </c>
      <c r="C13" s="112">
        <v>6.710000038146973</v>
      </c>
      <c r="D13" s="112">
        <v>4.1699</v>
      </c>
      <c r="E13" s="112">
        <v>3.8076035190124515</v>
      </c>
      <c r="F13" s="14">
        <v>41090</v>
      </c>
      <c r="G13" s="14">
        <v>42551</v>
      </c>
      <c r="H13" s="15">
        <f t="shared" si="1"/>
        <v>306</v>
      </c>
      <c r="I13" s="15">
        <f t="shared" si="2"/>
        <v>1767</v>
      </c>
      <c r="J13" s="106" t="e">
        <f>HLOOKUP(A13,'Investment Details (1)'!$C$8:$Z$36,11,FALSE)</f>
        <v>#N/A</v>
      </c>
      <c r="K13" s="16">
        <f t="shared" si="3"/>
        <v>1.267503480865479</v>
      </c>
      <c r="L13" s="16" t="e">
        <f t="shared" si="4"/>
        <v>#N/A</v>
      </c>
      <c r="M13" s="16" t="e">
        <f t="shared" si="5"/>
        <v>#N/A</v>
      </c>
      <c r="N13" s="17" t="e">
        <f t="shared" si="6"/>
        <v>#N/A</v>
      </c>
      <c r="O13" s="75" t="e">
        <f>HLOOKUP(A13,'Investment Details (1)'!$C$8:$Z$36,15,FALSE)</f>
        <v>#N/A</v>
      </c>
      <c r="P13" s="63" t="e">
        <f t="shared" si="13"/>
        <v>#N/A</v>
      </c>
      <c r="Q13" s="63" t="e">
        <f t="shared" si="7"/>
        <v>#N/A</v>
      </c>
      <c r="R13" s="63" t="e">
        <f t="shared" si="7"/>
        <v>#N/A</v>
      </c>
      <c r="S13" s="63" t="e">
        <f t="shared" si="7"/>
        <v>#N/A</v>
      </c>
      <c r="T13" s="63" t="e">
        <f t="shared" si="7"/>
        <v>#N/A</v>
      </c>
      <c r="U13" s="31">
        <f t="shared" si="14"/>
        <v>0.2</v>
      </c>
      <c r="V13" s="36">
        <f t="shared" si="15"/>
        <v>0.125</v>
      </c>
      <c r="W13" s="36">
        <f t="shared" si="16"/>
        <v>0.13</v>
      </c>
      <c r="X13" s="31">
        <f t="shared" si="17"/>
        <v>0.038002980409880975</v>
      </c>
      <c r="Y13" s="111" t="e">
        <f>HLOOKUP(A13,'Investment Details (1)'!$C$8:$Z$36,12,FALSE)</f>
        <v>#N/A</v>
      </c>
      <c r="Z13" s="18" t="e">
        <f t="shared" si="18"/>
        <v>#N/A</v>
      </c>
      <c r="AA13" s="18" t="e">
        <f t="shared" si="19"/>
        <v>#N/A</v>
      </c>
      <c r="AB13" s="18" t="e">
        <f t="shared" si="20"/>
        <v>#N/A</v>
      </c>
      <c r="AC13" s="18" t="e">
        <f t="shared" si="21"/>
        <v>#N/A</v>
      </c>
      <c r="AD13" s="18" t="e">
        <f t="shared" si="22"/>
        <v>#N/A</v>
      </c>
      <c r="AE13" s="64" t="e">
        <f aca="true" t="shared" si="23" ref="AE13:AE46">AJ13*J13</f>
        <v>#N/A</v>
      </c>
      <c r="AF13" s="64" t="e">
        <f aca="true" t="shared" si="24" ref="AF13:AF46">AK13*J13</f>
        <v>#N/A</v>
      </c>
      <c r="AG13" s="64" t="e">
        <f aca="true" t="shared" si="25" ref="AG13:AG46">AL13*J13</f>
        <v>#N/A</v>
      </c>
      <c r="AH13" s="64" t="e">
        <f aca="true" t="shared" si="26" ref="AH13:AH46">AM13*J13</f>
        <v>#N/A</v>
      </c>
      <c r="AI13" s="64">
        <v>0</v>
      </c>
      <c r="AJ13" s="69" t="e">
        <f t="shared" si="8"/>
        <v>#N/A</v>
      </c>
      <c r="AK13" s="69" t="e">
        <f t="shared" si="9"/>
        <v>#N/A</v>
      </c>
      <c r="AL13" s="69" t="e">
        <f t="shared" si="10"/>
        <v>#N/A</v>
      </c>
      <c r="AM13" s="69" t="e">
        <f t="shared" si="11"/>
        <v>#N/A</v>
      </c>
      <c r="AN13" s="70" t="e">
        <f t="shared" si="12"/>
        <v>#N/A</v>
      </c>
      <c r="AS13" s="35" t="s">
        <v>81</v>
      </c>
      <c r="AT13" s="35">
        <v>40609</v>
      </c>
      <c r="AU13" s="2">
        <v>13</v>
      </c>
      <c r="AV13" s="2">
        <v>20</v>
      </c>
      <c r="AW13" s="35" t="s">
        <v>81</v>
      </c>
      <c r="AX13" s="35">
        <v>40437</v>
      </c>
      <c r="AY13" s="2">
        <v>12.5</v>
      </c>
      <c r="AZ13" s="2">
        <v>20</v>
      </c>
    </row>
    <row r="14" spans="1:52" ht="11.25">
      <c r="A14" s="13" t="s">
        <v>16</v>
      </c>
      <c r="B14" s="37" t="str">
        <f t="shared" si="0"/>
        <v>CBA</v>
      </c>
      <c r="C14" s="112">
        <v>47.369998931884766</v>
      </c>
      <c r="D14" s="112">
        <v>24.7127</v>
      </c>
      <c r="E14" s="112">
        <v>28.479675656141065</v>
      </c>
      <c r="F14" s="14">
        <v>41090</v>
      </c>
      <c r="G14" s="14">
        <v>42551</v>
      </c>
      <c r="H14" s="15">
        <f t="shared" si="1"/>
        <v>306</v>
      </c>
      <c r="I14" s="15">
        <f t="shared" si="2"/>
        <v>1767</v>
      </c>
      <c r="J14" s="106" t="e">
        <f>HLOOKUP(A14,'Investment Details (1)'!$C$8:$Z$36,11,FALSE)</f>
        <v>#N/A</v>
      </c>
      <c r="K14" s="16">
        <f t="shared" si="3"/>
        <v>5.822376724256301</v>
      </c>
      <c r="L14" s="16" t="e">
        <f t="shared" si="4"/>
        <v>#N/A</v>
      </c>
      <c r="M14" s="16" t="e">
        <f t="shared" si="5"/>
        <v>#N/A</v>
      </c>
      <c r="N14" s="17" t="e">
        <f t="shared" si="6"/>
        <v>#N/A</v>
      </c>
      <c r="O14" s="75" t="e">
        <f>HLOOKUP(A14,'Investment Details (1)'!$C$8:$Z$36,15,FALSE)</f>
        <v>#N/A</v>
      </c>
      <c r="P14" s="63" t="e">
        <f t="shared" si="13"/>
        <v>#N/A</v>
      </c>
      <c r="Q14" s="63" t="e">
        <f t="shared" si="7"/>
        <v>#N/A</v>
      </c>
      <c r="R14" s="63" t="e">
        <f t="shared" si="7"/>
        <v>#N/A</v>
      </c>
      <c r="S14" s="63" t="e">
        <f t="shared" si="7"/>
        <v>#N/A</v>
      </c>
      <c r="T14" s="63" t="e">
        <f t="shared" si="7"/>
        <v>#N/A</v>
      </c>
      <c r="U14" s="31">
        <f t="shared" si="14"/>
        <v>1</v>
      </c>
      <c r="V14" s="36">
        <f t="shared" si="15"/>
        <v>1.7</v>
      </c>
      <c r="W14" s="36">
        <f t="shared" si="16"/>
        <v>1.32</v>
      </c>
      <c r="X14" s="31">
        <f t="shared" si="17"/>
        <v>0.06375343187874206</v>
      </c>
      <c r="Y14" s="111" t="e">
        <f>HLOOKUP(A14,'Investment Details (1)'!$C$8:$Z$36,12,FALSE)</f>
        <v>#N/A</v>
      </c>
      <c r="Z14" s="18" t="e">
        <f t="shared" si="18"/>
        <v>#N/A</v>
      </c>
      <c r="AA14" s="18" t="e">
        <f t="shared" si="19"/>
        <v>#N/A</v>
      </c>
      <c r="AB14" s="18" t="e">
        <f t="shared" si="20"/>
        <v>#N/A</v>
      </c>
      <c r="AC14" s="18" t="e">
        <f t="shared" si="21"/>
        <v>#N/A</v>
      </c>
      <c r="AD14" s="18" t="e">
        <f t="shared" si="22"/>
        <v>#N/A</v>
      </c>
      <c r="AE14" s="64" t="e">
        <f t="shared" si="23"/>
        <v>#N/A</v>
      </c>
      <c r="AF14" s="64" t="e">
        <f t="shared" si="24"/>
        <v>#N/A</v>
      </c>
      <c r="AG14" s="64" t="e">
        <f t="shared" si="25"/>
        <v>#N/A</v>
      </c>
      <c r="AH14" s="64" t="e">
        <f t="shared" si="26"/>
        <v>#N/A</v>
      </c>
      <c r="AI14" s="64">
        <v>0</v>
      </c>
      <c r="AJ14" s="69" t="e">
        <f t="shared" si="8"/>
        <v>#N/A</v>
      </c>
      <c r="AK14" s="69" t="e">
        <f t="shared" si="9"/>
        <v>#N/A</v>
      </c>
      <c r="AL14" s="69" t="e">
        <f t="shared" si="10"/>
        <v>#N/A</v>
      </c>
      <c r="AM14" s="69" t="e">
        <f t="shared" si="11"/>
        <v>#N/A</v>
      </c>
      <c r="AN14" s="70" t="e">
        <f t="shared" si="12"/>
        <v>#N/A</v>
      </c>
      <c r="AS14" s="35" t="s">
        <v>82</v>
      </c>
      <c r="AT14" s="35">
        <v>40588</v>
      </c>
      <c r="AU14" s="2">
        <v>132</v>
      </c>
      <c r="AV14" s="2">
        <v>100</v>
      </c>
      <c r="AW14" s="35" t="s">
        <v>82</v>
      </c>
      <c r="AX14" s="35">
        <v>40406</v>
      </c>
      <c r="AY14" s="2">
        <v>170</v>
      </c>
      <c r="AZ14" s="2">
        <v>100</v>
      </c>
    </row>
    <row r="15" spans="1:52" ht="11.25">
      <c r="A15" s="13" t="s">
        <v>117</v>
      </c>
      <c r="B15" s="37" t="str">
        <f t="shared" si="0"/>
        <v>COH</v>
      </c>
      <c r="C15" s="112">
        <v>74.1500015258789</v>
      </c>
      <c r="D15" s="112">
        <v>34.8</v>
      </c>
      <c r="E15" s="112">
        <v>45.39232493207487</v>
      </c>
      <c r="F15" s="14">
        <v>41090</v>
      </c>
      <c r="G15" s="14">
        <v>42551</v>
      </c>
      <c r="H15" s="15">
        <f t="shared" si="1"/>
        <v>306</v>
      </c>
      <c r="I15" s="15">
        <f t="shared" si="2"/>
        <v>1767</v>
      </c>
      <c r="J15" s="106" t="e">
        <f>HLOOKUP(A15,'Investment Details (1)'!$C$8:$Z$36,11,FALSE)</f>
        <v>#N/A</v>
      </c>
      <c r="K15" s="16">
        <f t="shared" si="3"/>
        <v>6.042323406195962</v>
      </c>
      <c r="L15" s="16" t="e">
        <f t="shared" si="4"/>
        <v>#N/A</v>
      </c>
      <c r="M15" s="16" t="e">
        <f t="shared" si="5"/>
        <v>#N/A</v>
      </c>
      <c r="N15" s="17" t="e">
        <f t="shared" si="6"/>
        <v>#N/A</v>
      </c>
      <c r="O15" s="75" t="e">
        <f>HLOOKUP(A15,'Investment Details (1)'!$C$8:$Z$36,15,FALSE)</f>
        <v>#N/A</v>
      </c>
      <c r="P15" s="63" t="e">
        <f t="shared" si="13"/>
        <v>#N/A</v>
      </c>
      <c r="Q15" s="63" t="e">
        <f t="shared" si="7"/>
        <v>#N/A</v>
      </c>
      <c r="R15" s="63" t="e">
        <f t="shared" si="7"/>
        <v>#N/A</v>
      </c>
      <c r="S15" s="63" t="e">
        <f t="shared" si="7"/>
        <v>#N/A</v>
      </c>
      <c r="T15" s="63" t="e">
        <f t="shared" si="7"/>
        <v>#N/A</v>
      </c>
      <c r="U15" s="31">
        <f t="shared" si="14"/>
        <v>0.6</v>
      </c>
      <c r="V15" s="36">
        <f t="shared" si="15"/>
        <v>1.05</v>
      </c>
      <c r="W15" s="36">
        <f t="shared" si="16"/>
        <v>1.05</v>
      </c>
      <c r="X15" s="31">
        <f t="shared" si="17"/>
        <v>0.028320970421923514</v>
      </c>
      <c r="Y15" s="111" t="e">
        <f>HLOOKUP(A15,'Investment Details (1)'!$C$8:$Z$36,12,FALSE)</f>
        <v>#N/A</v>
      </c>
      <c r="Z15" s="18" t="e">
        <f t="shared" si="18"/>
        <v>#N/A</v>
      </c>
      <c r="AA15" s="18" t="e">
        <f t="shared" si="19"/>
        <v>#N/A</v>
      </c>
      <c r="AB15" s="18" t="e">
        <f t="shared" si="20"/>
        <v>#N/A</v>
      </c>
      <c r="AC15" s="18" t="e">
        <f t="shared" si="21"/>
        <v>#N/A</v>
      </c>
      <c r="AD15" s="18" t="e">
        <f t="shared" si="22"/>
        <v>#N/A</v>
      </c>
      <c r="AE15" s="64" t="e">
        <f t="shared" si="23"/>
        <v>#N/A</v>
      </c>
      <c r="AF15" s="64" t="e">
        <f t="shared" si="24"/>
        <v>#N/A</v>
      </c>
      <c r="AG15" s="64" t="e">
        <f t="shared" si="25"/>
        <v>#N/A</v>
      </c>
      <c r="AH15" s="64" t="e">
        <f t="shared" si="26"/>
        <v>#N/A</v>
      </c>
      <c r="AI15" s="64">
        <v>0</v>
      </c>
      <c r="AJ15" s="69" t="e">
        <f t="shared" si="8"/>
        <v>#N/A</v>
      </c>
      <c r="AK15" s="69" t="e">
        <f t="shared" si="9"/>
        <v>#N/A</v>
      </c>
      <c r="AL15" s="69" t="e">
        <f t="shared" si="10"/>
        <v>#N/A</v>
      </c>
      <c r="AM15" s="69" t="e">
        <f t="shared" si="11"/>
        <v>#N/A</v>
      </c>
      <c r="AN15" s="70" t="e">
        <f t="shared" si="12"/>
        <v>#N/A</v>
      </c>
      <c r="AS15" s="35" t="s">
        <v>124</v>
      </c>
      <c r="AT15" s="35">
        <v>40595</v>
      </c>
      <c r="AU15" s="2">
        <v>105</v>
      </c>
      <c r="AV15" s="2">
        <v>60</v>
      </c>
      <c r="AW15" s="35" t="s">
        <v>124</v>
      </c>
      <c r="AX15" s="35">
        <v>40417</v>
      </c>
      <c r="AY15" s="2">
        <v>105</v>
      </c>
      <c r="AZ15" s="2">
        <v>60</v>
      </c>
    </row>
    <row r="16" spans="1:52" ht="11.25">
      <c r="A16" s="13" t="s">
        <v>118</v>
      </c>
      <c r="B16" s="37" t="str">
        <f t="shared" si="0"/>
        <v>CPU</v>
      </c>
      <c r="C16" s="112">
        <v>7.28000020980835</v>
      </c>
      <c r="D16" s="112">
        <v>4.86</v>
      </c>
      <c r="E16" s="112">
        <v>3.6243598123102023</v>
      </c>
      <c r="F16" s="14">
        <v>41090</v>
      </c>
      <c r="G16" s="14">
        <v>42551</v>
      </c>
      <c r="H16" s="15">
        <f t="shared" si="1"/>
        <v>306</v>
      </c>
      <c r="I16" s="15">
        <f t="shared" si="2"/>
        <v>1767</v>
      </c>
      <c r="J16" s="106" t="e">
        <f>HLOOKUP(A16,'Investment Details (1)'!$C$8:$Z$36,11,FALSE)</f>
        <v>#N/A</v>
      </c>
      <c r="K16" s="16">
        <f t="shared" si="3"/>
        <v>1.204359602501853</v>
      </c>
      <c r="L16" s="16" t="e">
        <f t="shared" si="4"/>
        <v>#N/A</v>
      </c>
      <c r="M16" s="16" t="e">
        <f t="shared" si="5"/>
        <v>#N/A</v>
      </c>
      <c r="N16" s="17" t="e">
        <f t="shared" si="6"/>
        <v>#N/A</v>
      </c>
      <c r="O16" s="75" t="e">
        <f>HLOOKUP(A16,'Investment Details (1)'!$C$8:$Z$36,15,FALSE)</f>
        <v>#N/A</v>
      </c>
      <c r="P16" s="63" t="e">
        <f t="shared" si="13"/>
        <v>#N/A</v>
      </c>
      <c r="Q16" s="63" t="e">
        <f t="shared" si="7"/>
        <v>#N/A</v>
      </c>
      <c r="R16" s="63" t="e">
        <f t="shared" si="7"/>
        <v>#N/A</v>
      </c>
      <c r="S16" s="63" t="e">
        <f t="shared" si="7"/>
        <v>#N/A</v>
      </c>
      <c r="T16" s="63" t="e">
        <f t="shared" si="7"/>
        <v>#N/A</v>
      </c>
      <c r="U16" s="31">
        <f t="shared" si="14"/>
        <v>0.6</v>
      </c>
      <c r="V16" s="36">
        <f t="shared" si="15"/>
        <v>0.14</v>
      </c>
      <c r="W16" s="36">
        <f t="shared" si="16"/>
        <v>0.14</v>
      </c>
      <c r="X16" s="31">
        <f t="shared" si="17"/>
        <v>0.038461537353083566</v>
      </c>
      <c r="Y16" s="111" t="e">
        <f>HLOOKUP(A16,'Investment Details (1)'!$C$8:$Z$36,12,FALSE)</f>
        <v>#N/A</v>
      </c>
      <c r="Z16" s="18" t="e">
        <f t="shared" si="18"/>
        <v>#N/A</v>
      </c>
      <c r="AA16" s="18" t="e">
        <f t="shared" si="19"/>
        <v>#N/A</v>
      </c>
      <c r="AB16" s="18" t="e">
        <f t="shared" si="20"/>
        <v>#N/A</v>
      </c>
      <c r="AC16" s="18" t="e">
        <f t="shared" si="21"/>
        <v>#N/A</v>
      </c>
      <c r="AD16" s="18" t="e">
        <f t="shared" si="22"/>
        <v>#N/A</v>
      </c>
      <c r="AE16" s="64" t="e">
        <f t="shared" si="23"/>
        <v>#N/A</v>
      </c>
      <c r="AF16" s="64" t="e">
        <f t="shared" si="24"/>
        <v>#N/A</v>
      </c>
      <c r="AG16" s="64" t="e">
        <f t="shared" si="25"/>
        <v>#N/A</v>
      </c>
      <c r="AH16" s="64" t="e">
        <f t="shared" si="26"/>
        <v>#N/A</v>
      </c>
      <c r="AI16" s="64">
        <v>0</v>
      </c>
      <c r="AJ16" s="69" t="e">
        <f t="shared" si="8"/>
        <v>#N/A</v>
      </c>
      <c r="AK16" s="69" t="e">
        <f t="shared" si="9"/>
        <v>#N/A</v>
      </c>
      <c r="AL16" s="69" t="e">
        <f t="shared" si="10"/>
        <v>#N/A</v>
      </c>
      <c r="AM16" s="69" t="e">
        <f t="shared" si="11"/>
        <v>#N/A</v>
      </c>
      <c r="AN16" s="70" t="e">
        <f t="shared" si="12"/>
        <v>#N/A</v>
      </c>
      <c r="AS16" s="35" t="s">
        <v>125</v>
      </c>
      <c r="AT16" s="35">
        <v>40589</v>
      </c>
      <c r="AU16" s="2">
        <v>14</v>
      </c>
      <c r="AV16" s="2">
        <v>60</v>
      </c>
      <c r="AW16" s="35" t="s">
        <v>125</v>
      </c>
      <c r="AX16" s="35">
        <v>40407</v>
      </c>
      <c r="AY16" s="2">
        <v>14</v>
      </c>
      <c r="AZ16" s="2">
        <v>60</v>
      </c>
    </row>
    <row r="17" spans="1:52" ht="11.25">
      <c r="A17" s="13" t="s">
        <v>17</v>
      </c>
      <c r="B17" s="37" t="str">
        <f t="shared" si="0"/>
        <v>CSL</v>
      </c>
      <c r="C17" s="112">
        <v>28.260000228881836</v>
      </c>
      <c r="D17" s="112">
        <v>19.5566</v>
      </c>
      <c r="E17" s="112">
        <v>13.966395138767847</v>
      </c>
      <c r="F17" s="14">
        <v>41090</v>
      </c>
      <c r="G17" s="14">
        <v>42551</v>
      </c>
      <c r="H17" s="15">
        <f t="shared" si="1"/>
        <v>306</v>
      </c>
      <c r="I17" s="15">
        <f t="shared" si="2"/>
        <v>1767</v>
      </c>
      <c r="J17" s="106" t="e">
        <f>HLOOKUP(A17,'Investment Details (1)'!$C$8:$Z$36,11,FALSE)</f>
        <v>#N/A</v>
      </c>
      <c r="K17" s="16">
        <f t="shared" si="3"/>
        <v>5.262994909886011</v>
      </c>
      <c r="L17" s="16" t="e">
        <f t="shared" si="4"/>
        <v>#N/A</v>
      </c>
      <c r="M17" s="16" t="e">
        <f t="shared" si="5"/>
        <v>#N/A</v>
      </c>
      <c r="N17" s="17" t="e">
        <f t="shared" si="6"/>
        <v>#N/A</v>
      </c>
      <c r="O17" s="75" t="e">
        <f>HLOOKUP(A17,'Investment Details (1)'!$C$8:$Z$36,15,FALSE)</f>
        <v>#N/A</v>
      </c>
      <c r="P17" s="63" t="e">
        <f t="shared" si="13"/>
        <v>#N/A</v>
      </c>
      <c r="Q17" s="63" t="e">
        <f t="shared" si="7"/>
        <v>#N/A</v>
      </c>
      <c r="R17" s="63" t="e">
        <f t="shared" si="7"/>
        <v>#N/A</v>
      </c>
      <c r="S17" s="63" t="e">
        <f t="shared" si="7"/>
        <v>#N/A</v>
      </c>
      <c r="T17" s="63" t="e">
        <f t="shared" si="7"/>
        <v>#N/A</v>
      </c>
      <c r="U17" s="31">
        <f t="shared" si="14"/>
        <v>0</v>
      </c>
      <c r="V17" s="36">
        <f t="shared" si="15"/>
        <v>0.45</v>
      </c>
      <c r="W17" s="36">
        <f t="shared" si="16"/>
        <v>0.35</v>
      </c>
      <c r="X17" s="31">
        <f t="shared" si="17"/>
        <v>0.02830856311113532</v>
      </c>
      <c r="Y17" s="111" t="e">
        <f>HLOOKUP(A17,'Investment Details (1)'!$C$8:$Z$36,12,FALSE)</f>
        <v>#N/A</v>
      </c>
      <c r="Z17" s="18" t="e">
        <f t="shared" si="18"/>
        <v>#N/A</v>
      </c>
      <c r="AA17" s="18" t="e">
        <f t="shared" si="19"/>
        <v>#N/A</v>
      </c>
      <c r="AB17" s="18" t="e">
        <f t="shared" si="20"/>
        <v>#N/A</v>
      </c>
      <c r="AC17" s="18" t="e">
        <f t="shared" si="21"/>
        <v>#N/A</v>
      </c>
      <c r="AD17" s="18" t="e">
        <f t="shared" si="22"/>
        <v>#N/A</v>
      </c>
      <c r="AE17" s="64" t="e">
        <f t="shared" si="23"/>
        <v>#N/A</v>
      </c>
      <c r="AF17" s="64" t="e">
        <f t="shared" si="24"/>
        <v>#N/A</v>
      </c>
      <c r="AG17" s="64" t="e">
        <f t="shared" si="25"/>
        <v>#N/A</v>
      </c>
      <c r="AH17" s="64" t="e">
        <f t="shared" si="26"/>
        <v>#N/A</v>
      </c>
      <c r="AI17" s="64">
        <v>0</v>
      </c>
      <c r="AJ17" s="69" t="e">
        <f t="shared" si="8"/>
        <v>#N/A</v>
      </c>
      <c r="AK17" s="69" t="e">
        <f t="shared" si="9"/>
        <v>#N/A</v>
      </c>
      <c r="AL17" s="69" t="e">
        <f t="shared" si="10"/>
        <v>#N/A</v>
      </c>
      <c r="AM17" s="69" t="e">
        <f t="shared" si="11"/>
        <v>#N/A</v>
      </c>
      <c r="AN17" s="70" t="e">
        <f t="shared" si="12"/>
        <v>#N/A</v>
      </c>
      <c r="AS17" s="35" t="s">
        <v>83</v>
      </c>
      <c r="AT17" s="35">
        <v>40610</v>
      </c>
      <c r="AU17" s="2">
        <v>35</v>
      </c>
      <c r="AV17" s="2">
        <v>0</v>
      </c>
      <c r="AW17" s="35" t="s">
        <v>83</v>
      </c>
      <c r="AX17" s="35">
        <v>40434</v>
      </c>
      <c r="AY17" s="2">
        <v>45</v>
      </c>
      <c r="AZ17" s="2">
        <v>11.74</v>
      </c>
    </row>
    <row r="18" spans="1:52" ht="11.25">
      <c r="A18" s="13" t="s">
        <v>18</v>
      </c>
      <c r="B18" s="37" t="str">
        <f t="shared" si="0"/>
        <v>CWN</v>
      </c>
      <c r="C18" s="112">
        <v>8</v>
      </c>
      <c r="D18" s="112">
        <v>4.6548</v>
      </c>
      <c r="E18" s="112">
        <v>4.936929498543293</v>
      </c>
      <c r="F18" s="14">
        <v>41090</v>
      </c>
      <c r="G18" s="14">
        <v>42551</v>
      </c>
      <c r="H18" s="15">
        <f t="shared" si="1"/>
        <v>306</v>
      </c>
      <c r="I18" s="15">
        <f t="shared" si="2"/>
        <v>1767</v>
      </c>
      <c r="J18" s="106" t="e">
        <f>HLOOKUP(A18,'Investment Details (1)'!$C$8:$Z$36,11,FALSE)</f>
        <v>#N/A</v>
      </c>
      <c r="K18" s="16">
        <f t="shared" si="3"/>
        <v>1.5917294985432928</v>
      </c>
      <c r="L18" s="16" t="e">
        <f t="shared" si="4"/>
        <v>#N/A</v>
      </c>
      <c r="M18" s="16" t="e">
        <f t="shared" si="5"/>
        <v>#N/A</v>
      </c>
      <c r="N18" s="17" t="e">
        <f t="shared" si="6"/>
        <v>#N/A</v>
      </c>
      <c r="O18" s="75" t="e">
        <f>HLOOKUP(A18,'Investment Details (1)'!$C$8:$Z$36,15,FALSE)</f>
        <v>#N/A</v>
      </c>
      <c r="P18" s="63" t="e">
        <f t="shared" si="13"/>
        <v>#N/A</v>
      </c>
      <c r="Q18" s="63" t="e">
        <f t="shared" si="7"/>
        <v>#N/A</v>
      </c>
      <c r="R18" s="63" t="e">
        <f t="shared" si="7"/>
        <v>#N/A</v>
      </c>
      <c r="S18" s="63" t="e">
        <f t="shared" si="7"/>
        <v>#N/A</v>
      </c>
      <c r="T18" s="63" t="e">
        <f t="shared" si="7"/>
        <v>#N/A</v>
      </c>
      <c r="U18" s="31">
        <f t="shared" si="14"/>
        <v>0.6</v>
      </c>
      <c r="V18" s="36">
        <f t="shared" si="15"/>
        <v>0.19</v>
      </c>
      <c r="W18" s="36">
        <f t="shared" si="16"/>
        <v>0.18</v>
      </c>
      <c r="X18" s="31">
        <f t="shared" si="17"/>
        <v>0.04625</v>
      </c>
      <c r="Y18" s="111" t="e">
        <f>HLOOKUP(A18,'Investment Details (1)'!$C$8:$Z$36,12,FALSE)</f>
        <v>#N/A</v>
      </c>
      <c r="Z18" s="18" t="e">
        <f t="shared" si="18"/>
        <v>#N/A</v>
      </c>
      <c r="AA18" s="18" t="e">
        <f t="shared" si="19"/>
        <v>#N/A</v>
      </c>
      <c r="AB18" s="18" t="e">
        <f t="shared" si="20"/>
        <v>#N/A</v>
      </c>
      <c r="AC18" s="18" t="e">
        <f t="shared" si="21"/>
        <v>#N/A</v>
      </c>
      <c r="AD18" s="18" t="e">
        <f t="shared" si="22"/>
        <v>#N/A</v>
      </c>
      <c r="AE18" s="64" t="e">
        <f t="shared" si="23"/>
        <v>#N/A</v>
      </c>
      <c r="AF18" s="64" t="e">
        <f t="shared" si="24"/>
        <v>#N/A</v>
      </c>
      <c r="AG18" s="64" t="e">
        <f t="shared" si="25"/>
        <v>#N/A</v>
      </c>
      <c r="AH18" s="64" t="e">
        <f t="shared" si="26"/>
        <v>#N/A</v>
      </c>
      <c r="AI18" s="64">
        <v>0</v>
      </c>
      <c r="AJ18" s="69" t="e">
        <f t="shared" si="8"/>
        <v>#N/A</v>
      </c>
      <c r="AK18" s="69" t="e">
        <f t="shared" si="9"/>
        <v>#N/A</v>
      </c>
      <c r="AL18" s="69" t="e">
        <f t="shared" si="10"/>
        <v>#N/A</v>
      </c>
      <c r="AM18" s="69" t="e">
        <f t="shared" si="11"/>
        <v>#N/A</v>
      </c>
      <c r="AN18" s="70" t="e">
        <f t="shared" si="12"/>
        <v>#N/A</v>
      </c>
      <c r="AS18" s="35" t="s">
        <v>84</v>
      </c>
      <c r="AT18" s="35">
        <v>40630</v>
      </c>
      <c r="AU18" s="2">
        <v>18</v>
      </c>
      <c r="AV18" s="2">
        <v>60</v>
      </c>
      <c r="AW18" s="35" t="s">
        <v>84</v>
      </c>
      <c r="AX18" s="35">
        <v>40448</v>
      </c>
      <c r="AY18" s="2">
        <v>19</v>
      </c>
      <c r="AZ18" s="2">
        <v>60</v>
      </c>
    </row>
    <row r="19" spans="1:52" ht="11.25">
      <c r="A19" s="13" t="s">
        <v>19</v>
      </c>
      <c r="B19" s="37" t="str">
        <f t="shared" si="0"/>
        <v>FGL</v>
      </c>
      <c r="C19" s="112">
        <v>5.050000190734863</v>
      </c>
      <c r="D19" s="112">
        <v>1.9341</v>
      </c>
      <c r="E19" s="112">
        <v>3.6834816169548366</v>
      </c>
      <c r="F19" s="14">
        <v>41090</v>
      </c>
      <c r="G19" s="14">
        <v>42551</v>
      </c>
      <c r="H19" s="15">
        <f t="shared" si="1"/>
        <v>306</v>
      </c>
      <c r="I19" s="15">
        <f t="shared" si="2"/>
        <v>1767</v>
      </c>
      <c r="J19" s="106" t="e">
        <f>HLOOKUP(A19,'Investment Details (1)'!$C$8:$Z$36,11,FALSE)</f>
        <v>#N/A</v>
      </c>
      <c r="K19" s="16">
        <f t="shared" si="3"/>
        <v>0.5675814262199732</v>
      </c>
      <c r="L19" s="16" t="e">
        <f t="shared" si="4"/>
        <v>#N/A</v>
      </c>
      <c r="M19" s="16" t="e">
        <f t="shared" si="5"/>
        <v>#N/A</v>
      </c>
      <c r="N19" s="17" t="e">
        <f t="shared" si="6"/>
        <v>#N/A</v>
      </c>
      <c r="O19" s="75" t="e">
        <f>HLOOKUP(A19,'Investment Details (1)'!$C$8:$Z$36,15,FALSE)</f>
        <v>#N/A</v>
      </c>
      <c r="P19" s="63" t="e">
        <f t="shared" si="13"/>
        <v>#N/A</v>
      </c>
      <c r="Q19" s="63" t="e">
        <f t="shared" si="7"/>
        <v>#N/A</v>
      </c>
      <c r="R19" s="63" t="e">
        <f t="shared" si="7"/>
        <v>#N/A</v>
      </c>
      <c r="S19" s="63" t="e">
        <f t="shared" si="7"/>
        <v>#N/A</v>
      </c>
      <c r="T19" s="63" t="e">
        <f t="shared" si="7"/>
        <v>#N/A</v>
      </c>
      <c r="U19" s="31">
        <f t="shared" si="14"/>
        <v>1</v>
      </c>
      <c r="V19" s="36">
        <f t="shared" si="15"/>
        <v>0.1525</v>
      </c>
      <c r="W19" s="36">
        <f t="shared" si="16"/>
        <v>0.12</v>
      </c>
      <c r="X19" s="31">
        <f t="shared" si="17"/>
        <v>0.053960394001558734</v>
      </c>
      <c r="Y19" s="111" t="e">
        <f>HLOOKUP(A19,'Investment Details (1)'!$C$8:$Z$36,12,FALSE)</f>
        <v>#N/A</v>
      </c>
      <c r="Z19" s="18" t="e">
        <f t="shared" si="18"/>
        <v>#N/A</v>
      </c>
      <c r="AA19" s="18" t="e">
        <f t="shared" si="19"/>
        <v>#N/A</v>
      </c>
      <c r="AB19" s="18" t="e">
        <f t="shared" si="20"/>
        <v>#N/A</v>
      </c>
      <c r="AC19" s="18" t="e">
        <f t="shared" si="21"/>
        <v>#N/A</v>
      </c>
      <c r="AD19" s="18" t="e">
        <f t="shared" si="22"/>
        <v>#N/A</v>
      </c>
      <c r="AE19" s="64" t="e">
        <f t="shared" si="23"/>
        <v>#N/A</v>
      </c>
      <c r="AF19" s="64" t="e">
        <f t="shared" si="24"/>
        <v>#N/A</v>
      </c>
      <c r="AG19" s="64" t="e">
        <f t="shared" si="25"/>
        <v>#N/A</v>
      </c>
      <c r="AH19" s="64" t="e">
        <f t="shared" si="26"/>
        <v>#N/A</v>
      </c>
      <c r="AI19" s="64">
        <v>0</v>
      </c>
      <c r="AJ19" s="69" t="e">
        <f t="shared" si="8"/>
        <v>#N/A</v>
      </c>
      <c r="AK19" s="69" t="e">
        <f t="shared" si="9"/>
        <v>#N/A</v>
      </c>
      <c r="AL19" s="69" t="e">
        <f t="shared" si="10"/>
        <v>#N/A</v>
      </c>
      <c r="AM19" s="69" t="e">
        <f t="shared" si="11"/>
        <v>#N/A</v>
      </c>
      <c r="AN19" s="70" t="e">
        <f t="shared" si="12"/>
        <v>#N/A</v>
      </c>
      <c r="AS19" s="35" t="s">
        <v>85</v>
      </c>
      <c r="AT19" s="35">
        <v>40596</v>
      </c>
      <c r="AU19" s="2">
        <v>12</v>
      </c>
      <c r="AV19" s="2">
        <v>100</v>
      </c>
      <c r="AW19" s="35" t="s">
        <v>85</v>
      </c>
      <c r="AX19" s="35">
        <v>40480</v>
      </c>
      <c r="AY19" s="2">
        <v>15.25</v>
      </c>
      <c r="AZ19" s="2">
        <v>100</v>
      </c>
    </row>
    <row r="20" spans="1:52" ht="11.25">
      <c r="A20" s="13" t="s">
        <v>20</v>
      </c>
      <c r="B20" s="37" t="str">
        <f t="shared" si="0"/>
        <v>IAG</v>
      </c>
      <c r="C20" s="112">
        <v>2.940000057220459</v>
      </c>
      <c r="D20" s="112">
        <v>2.058</v>
      </c>
      <c r="E20" s="112">
        <v>1.4252098369906432</v>
      </c>
      <c r="F20" s="14">
        <v>41090</v>
      </c>
      <c r="G20" s="14">
        <v>42551</v>
      </c>
      <c r="H20" s="15">
        <f t="shared" si="1"/>
        <v>306</v>
      </c>
      <c r="I20" s="15">
        <f t="shared" si="2"/>
        <v>1767</v>
      </c>
      <c r="J20" s="106" t="e">
        <f>HLOOKUP(A20,'Investment Details (1)'!$C$8:$Z$36,11,FALSE)</f>
        <v>#N/A</v>
      </c>
      <c r="K20" s="16">
        <f t="shared" si="3"/>
        <v>0.543209779770184</v>
      </c>
      <c r="L20" s="16" t="e">
        <f t="shared" si="4"/>
        <v>#N/A</v>
      </c>
      <c r="M20" s="16" t="e">
        <f t="shared" si="5"/>
        <v>#N/A</v>
      </c>
      <c r="N20" s="17" t="e">
        <f t="shared" si="6"/>
        <v>#N/A</v>
      </c>
      <c r="O20" s="75" t="e">
        <f>HLOOKUP(A20,'Investment Details (1)'!$C$8:$Z$36,15,FALSE)</f>
        <v>#N/A</v>
      </c>
      <c r="P20" s="63" t="e">
        <f t="shared" si="13"/>
        <v>#N/A</v>
      </c>
      <c r="Q20" s="63" t="e">
        <f t="shared" si="7"/>
        <v>#N/A</v>
      </c>
      <c r="R20" s="63" t="e">
        <f t="shared" si="7"/>
        <v>#N/A</v>
      </c>
      <c r="S20" s="63" t="e">
        <f t="shared" si="7"/>
        <v>#N/A</v>
      </c>
      <c r="T20" s="63" t="e">
        <f t="shared" si="7"/>
        <v>#N/A</v>
      </c>
      <c r="U20" s="31">
        <f t="shared" si="14"/>
        <v>1</v>
      </c>
      <c r="V20" s="36">
        <f t="shared" si="15"/>
        <v>0.045</v>
      </c>
      <c r="W20" s="36">
        <f t="shared" si="16"/>
        <v>0.09</v>
      </c>
      <c r="X20" s="31">
        <f t="shared" si="17"/>
        <v>0.045918366453241495</v>
      </c>
      <c r="Y20" s="111" t="e">
        <f>HLOOKUP(A20,'Investment Details (1)'!$C$8:$Z$36,12,FALSE)</f>
        <v>#N/A</v>
      </c>
      <c r="Z20" s="18" t="e">
        <f t="shared" si="18"/>
        <v>#N/A</v>
      </c>
      <c r="AA20" s="18" t="e">
        <f t="shared" si="19"/>
        <v>#N/A</v>
      </c>
      <c r="AB20" s="18" t="e">
        <f t="shared" si="20"/>
        <v>#N/A</v>
      </c>
      <c r="AC20" s="18" t="e">
        <f t="shared" si="21"/>
        <v>#N/A</v>
      </c>
      <c r="AD20" s="18" t="e">
        <f t="shared" si="22"/>
        <v>#N/A</v>
      </c>
      <c r="AE20" s="64" t="e">
        <f t="shared" si="23"/>
        <v>#N/A</v>
      </c>
      <c r="AF20" s="64" t="e">
        <f t="shared" si="24"/>
        <v>#N/A</v>
      </c>
      <c r="AG20" s="64" t="e">
        <f t="shared" si="25"/>
        <v>#N/A</v>
      </c>
      <c r="AH20" s="64" t="e">
        <f t="shared" si="26"/>
        <v>#N/A</v>
      </c>
      <c r="AI20" s="64">
        <v>0</v>
      </c>
      <c r="AJ20" s="69" t="e">
        <f t="shared" si="8"/>
        <v>#N/A</v>
      </c>
      <c r="AK20" s="69" t="e">
        <f t="shared" si="9"/>
        <v>#N/A</v>
      </c>
      <c r="AL20" s="69" t="e">
        <f t="shared" si="10"/>
        <v>#N/A</v>
      </c>
      <c r="AM20" s="69" t="e">
        <f t="shared" si="11"/>
        <v>#N/A</v>
      </c>
      <c r="AN20" s="70" t="e">
        <f t="shared" si="12"/>
        <v>#N/A</v>
      </c>
      <c r="AS20" s="35" t="s">
        <v>86</v>
      </c>
      <c r="AT20" s="35">
        <v>40605</v>
      </c>
      <c r="AU20" s="2">
        <v>9</v>
      </c>
      <c r="AV20" s="2">
        <v>100</v>
      </c>
      <c r="AW20" s="35" t="s">
        <v>86</v>
      </c>
      <c r="AX20" s="35">
        <v>40423</v>
      </c>
      <c r="AY20" s="2">
        <v>4.5</v>
      </c>
      <c r="AZ20" s="2">
        <v>100</v>
      </c>
    </row>
    <row r="21" spans="1:40" ht="11.25">
      <c r="A21" s="13" t="s">
        <v>21</v>
      </c>
      <c r="B21" s="37" t="str">
        <f t="shared" si="0"/>
        <v>ILC</v>
      </c>
      <c r="C21" s="112">
        <v>18.40999984741211</v>
      </c>
      <c r="D21" s="112">
        <v>11.07</v>
      </c>
      <c r="E21" s="112">
        <v>10.113883238731235</v>
      </c>
      <c r="F21" s="14">
        <v>41090</v>
      </c>
      <c r="G21" s="14">
        <v>42551</v>
      </c>
      <c r="H21" s="15">
        <f t="shared" si="1"/>
        <v>306</v>
      </c>
      <c r="I21" s="15">
        <f t="shared" si="2"/>
        <v>1767</v>
      </c>
      <c r="J21" s="106" t="e">
        <f>HLOOKUP(A21,'Investment Details (1)'!$C$8:$Z$36,11,FALSE)</f>
        <v>#N/A</v>
      </c>
      <c r="K21" s="16">
        <f t="shared" si="3"/>
        <v>2.773883391319126</v>
      </c>
      <c r="L21" s="16" t="e">
        <f t="shared" si="4"/>
        <v>#N/A</v>
      </c>
      <c r="M21" s="16" t="e">
        <f t="shared" si="5"/>
        <v>#N/A</v>
      </c>
      <c r="N21" s="17" t="e">
        <f t="shared" si="6"/>
        <v>#N/A</v>
      </c>
      <c r="O21" s="75" t="e">
        <f>HLOOKUP(A21,'Investment Details (1)'!$C$8:$Z$36,15,FALSE)</f>
        <v>#N/A</v>
      </c>
      <c r="P21" s="63" t="e">
        <f t="shared" si="13"/>
        <v>#N/A</v>
      </c>
      <c r="Q21" s="63" t="e">
        <f t="shared" si="7"/>
        <v>#N/A</v>
      </c>
      <c r="R21" s="63" t="e">
        <f t="shared" si="7"/>
        <v>#N/A</v>
      </c>
      <c r="S21" s="63" t="e">
        <f t="shared" si="7"/>
        <v>#N/A</v>
      </c>
      <c r="T21" s="63" t="e">
        <f t="shared" si="7"/>
        <v>#N/A</v>
      </c>
      <c r="U21" s="31">
        <f t="shared" si="14"/>
        <v>0</v>
      </c>
      <c r="V21" s="36">
        <f t="shared" si="15"/>
        <v>0</v>
      </c>
      <c r="W21" s="36">
        <f t="shared" si="16"/>
        <v>0</v>
      </c>
      <c r="X21" s="31">
        <f t="shared" si="17"/>
        <v>0</v>
      </c>
      <c r="Y21" s="111" t="e">
        <f>HLOOKUP(A21,'Investment Details (1)'!$C$8:$Z$36,12,FALSE)</f>
        <v>#N/A</v>
      </c>
      <c r="Z21" s="18" t="e">
        <f t="shared" si="18"/>
        <v>#N/A</v>
      </c>
      <c r="AA21" s="18" t="e">
        <f t="shared" si="19"/>
        <v>#N/A</v>
      </c>
      <c r="AB21" s="18" t="e">
        <f t="shared" si="20"/>
        <v>#N/A</v>
      </c>
      <c r="AC21" s="18" t="e">
        <f t="shared" si="21"/>
        <v>#N/A</v>
      </c>
      <c r="AD21" s="18" t="e">
        <f t="shared" si="22"/>
        <v>#N/A</v>
      </c>
      <c r="AE21" s="64" t="e">
        <f t="shared" si="23"/>
        <v>#N/A</v>
      </c>
      <c r="AF21" s="64" t="e">
        <f t="shared" si="24"/>
        <v>#N/A</v>
      </c>
      <c r="AG21" s="64" t="e">
        <f t="shared" si="25"/>
        <v>#N/A</v>
      </c>
      <c r="AH21" s="64" t="e">
        <f t="shared" si="26"/>
        <v>#N/A</v>
      </c>
      <c r="AI21" s="64">
        <v>0</v>
      </c>
      <c r="AJ21" s="69" t="e">
        <f t="shared" si="8"/>
        <v>#N/A</v>
      </c>
      <c r="AK21" s="69" t="e">
        <f t="shared" si="9"/>
        <v>#N/A</v>
      </c>
      <c r="AL21" s="69" t="e">
        <f t="shared" si="10"/>
        <v>#N/A</v>
      </c>
      <c r="AM21" s="69" t="e">
        <f t="shared" si="11"/>
        <v>#N/A</v>
      </c>
      <c r="AN21" s="70" t="e">
        <f t="shared" si="12"/>
        <v>#N/A</v>
      </c>
    </row>
    <row r="22" spans="1:52" ht="11.25">
      <c r="A22" s="13" t="s">
        <v>22</v>
      </c>
      <c r="B22" s="37" t="str">
        <f t="shared" si="0"/>
        <v>IOZ</v>
      </c>
      <c r="C22" s="112">
        <v>18.149999618530273</v>
      </c>
      <c r="D22" s="112">
        <v>12.6331</v>
      </c>
      <c r="E22" s="112">
        <v>8.70782097835242</v>
      </c>
      <c r="F22" s="14">
        <v>41090</v>
      </c>
      <c r="G22" s="14">
        <v>42551</v>
      </c>
      <c r="H22" s="15">
        <f t="shared" si="1"/>
        <v>306</v>
      </c>
      <c r="I22" s="15">
        <f t="shared" si="2"/>
        <v>1767</v>
      </c>
      <c r="J22" s="106" t="e">
        <f>HLOOKUP(A22,'Investment Details (1)'!$C$8:$Z$36,11,FALSE)</f>
        <v>#N/A</v>
      </c>
      <c r="K22" s="16">
        <f t="shared" si="3"/>
        <v>3.1909213598221466</v>
      </c>
      <c r="L22" s="16" t="e">
        <f t="shared" si="4"/>
        <v>#N/A</v>
      </c>
      <c r="M22" s="16" t="e">
        <f t="shared" si="5"/>
        <v>#N/A</v>
      </c>
      <c r="N22" s="17" t="e">
        <f t="shared" si="6"/>
        <v>#N/A</v>
      </c>
      <c r="O22" s="75" t="e">
        <f>HLOOKUP(A22,'Investment Details (1)'!$C$8:$Z$36,15,FALSE)</f>
        <v>#N/A</v>
      </c>
      <c r="P22" s="63" t="e">
        <f t="shared" si="13"/>
        <v>#N/A</v>
      </c>
      <c r="Q22" s="63" t="e">
        <f t="shared" si="7"/>
        <v>#N/A</v>
      </c>
      <c r="R22" s="63" t="e">
        <f t="shared" si="7"/>
        <v>#N/A</v>
      </c>
      <c r="S22" s="63" t="e">
        <f t="shared" si="7"/>
        <v>#N/A</v>
      </c>
      <c r="T22" s="63" t="e">
        <f t="shared" si="7"/>
        <v>#N/A</v>
      </c>
      <c r="U22" s="31">
        <f t="shared" si="14"/>
        <v>0</v>
      </c>
      <c r="V22" s="36">
        <f t="shared" si="15"/>
        <v>0.030647</v>
      </c>
      <c r="W22" s="36">
        <f t="shared" si="16"/>
        <v>0.296883</v>
      </c>
      <c r="X22" s="31">
        <f t="shared" si="17"/>
        <v>0.018045730406826437</v>
      </c>
      <c r="Y22" s="111" t="e">
        <f>HLOOKUP(A22,'Investment Details (1)'!$C$8:$Z$36,12,FALSE)</f>
        <v>#N/A</v>
      </c>
      <c r="Z22" s="18" t="e">
        <f t="shared" si="18"/>
        <v>#N/A</v>
      </c>
      <c r="AA22" s="18" t="e">
        <f t="shared" si="19"/>
        <v>#N/A</v>
      </c>
      <c r="AB22" s="18" t="e">
        <f t="shared" si="20"/>
        <v>#N/A</v>
      </c>
      <c r="AC22" s="18" t="e">
        <f t="shared" si="21"/>
        <v>#N/A</v>
      </c>
      <c r="AD22" s="18" t="e">
        <f t="shared" si="22"/>
        <v>#N/A</v>
      </c>
      <c r="AE22" s="64" t="e">
        <f t="shared" si="23"/>
        <v>#N/A</v>
      </c>
      <c r="AF22" s="64" t="e">
        <f t="shared" si="24"/>
        <v>#N/A</v>
      </c>
      <c r="AG22" s="64" t="e">
        <f t="shared" si="25"/>
        <v>#N/A</v>
      </c>
      <c r="AH22" s="64" t="e">
        <f t="shared" si="26"/>
        <v>#N/A</v>
      </c>
      <c r="AI22" s="64">
        <v>0</v>
      </c>
      <c r="AJ22" s="69" t="e">
        <f t="shared" si="8"/>
        <v>#N/A</v>
      </c>
      <c r="AK22" s="69" t="e">
        <f t="shared" si="9"/>
        <v>#N/A</v>
      </c>
      <c r="AL22" s="69" t="e">
        <f t="shared" si="10"/>
        <v>#N/A</v>
      </c>
      <c r="AM22" s="69" t="e">
        <f t="shared" si="11"/>
        <v>#N/A</v>
      </c>
      <c r="AN22" s="70" t="e">
        <f t="shared" si="12"/>
        <v>#N/A</v>
      </c>
      <c r="AS22" s="35" t="s">
        <v>87</v>
      </c>
      <c r="AT22" s="35">
        <v>40725</v>
      </c>
      <c r="AU22" s="2">
        <v>29.6883</v>
      </c>
      <c r="AV22" s="2">
        <v>0</v>
      </c>
      <c r="AW22" s="35" t="s">
        <v>87</v>
      </c>
      <c r="AX22" s="35">
        <v>40609</v>
      </c>
      <c r="AY22" s="2">
        <v>3.0647</v>
      </c>
      <c r="AZ22" s="2">
        <v>0</v>
      </c>
    </row>
    <row r="23" spans="1:52" ht="11.25">
      <c r="A23" s="13" t="s">
        <v>119</v>
      </c>
      <c r="B23" s="37" t="str">
        <f t="shared" si="0"/>
        <v>IPL</v>
      </c>
      <c r="C23" s="112">
        <v>3.4700000286102295</v>
      </c>
      <c r="D23" s="112">
        <v>2</v>
      </c>
      <c r="E23" s="112">
        <v>2.037305597099883</v>
      </c>
      <c r="F23" s="14">
        <v>41090</v>
      </c>
      <c r="G23" s="14">
        <v>42551</v>
      </c>
      <c r="H23" s="15">
        <f t="shared" si="1"/>
        <v>306</v>
      </c>
      <c r="I23" s="15">
        <f t="shared" si="2"/>
        <v>1767</v>
      </c>
      <c r="J23" s="106" t="e">
        <f>HLOOKUP(A23,'Investment Details (1)'!$C$8:$Z$36,11,FALSE)</f>
        <v>#N/A</v>
      </c>
      <c r="K23" s="16">
        <f t="shared" si="3"/>
        <v>0.5673055684896533</v>
      </c>
      <c r="L23" s="16" t="e">
        <f t="shared" si="4"/>
        <v>#N/A</v>
      </c>
      <c r="M23" s="16" t="e">
        <f t="shared" si="5"/>
        <v>#N/A</v>
      </c>
      <c r="N23" s="17" t="e">
        <f t="shared" si="6"/>
        <v>#N/A</v>
      </c>
      <c r="O23" s="75" t="e">
        <f>HLOOKUP(A23,'Investment Details (1)'!$C$8:$Z$36,15,FALSE)</f>
        <v>#N/A</v>
      </c>
      <c r="P23" s="63" t="e">
        <f t="shared" si="13"/>
        <v>#N/A</v>
      </c>
      <c r="Q23" s="63" t="e">
        <f t="shared" si="7"/>
        <v>#N/A</v>
      </c>
      <c r="R23" s="63" t="e">
        <f t="shared" si="7"/>
        <v>#N/A</v>
      </c>
      <c r="S23" s="63" t="e">
        <f t="shared" si="7"/>
        <v>#N/A</v>
      </c>
      <c r="T23" s="63" t="e">
        <f t="shared" si="7"/>
        <v>#N/A</v>
      </c>
      <c r="U23" s="31">
        <f t="shared" si="14"/>
        <v>0</v>
      </c>
      <c r="V23" s="36">
        <f t="shared" si="15"/>
        <v>0.06</v>
      </c>
      <c r="W23" s="36">
        <f t="shared" si="16"/>
        <v>0.033</v>
      </c>
      <c r="X23" s="31">
        <f t="shared" si="17"/>
        <v>0.026801152516776044</v>
      </c>
      <c r="Y23" s="111" t="e">
        <f>HLOOKUP(A23,'Investment Details (1)'!$C$8:$Z$36,12,FALSE)</f>
        <v>#N/A</v>
      </c>
      <c r="Z23" s="18" t="e">
        <f t="shared" si="18"/>
        <v>#N/A</v>
      </c>
      <c r="AA23" s="18" t="e">
        <f t="shared" si="19"/>
        <v>#N/A</v>
      </c>
      <c r="AB23" s="18" t="e">
        <f t="shared" si="20"/>
        <v>#N/A</v>
      </c>
      <c r="AC23" s="18" t="e">
        <f t="shared" si="21"/>
        <v>#N/A</v>
      </c>
      <c r="AD23" s="18" t="e">
        <f t="shared" si="22"/>
        <v>#N/A</v>
      </c>
      <c r="AE23" s="64" t="e">
        <f t="shared" si="23"/>
        <v>#N/A</v>
      </c>
      <c r="AF23" s="64" t="e">
        <f t="shared" si="24"/>
        <v>#N/A</v>
      </c>
      <c r="AG23" s="64" t="e">
        <f t="shared" si="25"/>
        <v>#N/A</v>
      </c>
      <c r="AH23" s="64" t="e">
        <f t="shared" si="26"/>
        <v>#N/A</v>
      </c>
      <c r="AI23" s="64">
        <v>0</v>
      </c>
      <c r="AJ23" s="69" t="e">
        <f t="shared" si="8"/>
        <v>#N/A</v>
      </c>
      <c r="AK23" s="69" t="e">
        <f t="shared" si="9"/>
        <v>#N/A</v>
      </c>
      <c r="AL23" s="69" t="e">
        <f t="shared" si="10"/>
        <v>#N/A</v>
      </c>
      <c r="AM23" s="69" t="e">
        <f t="shared" si="11"/>
        <v>#N/A</v>
      </c>
      <c r="AN23" s="70" t="e">
        <f t="shared" si="12"/>
        <v>#N/A</v>
      </c>
      <c r="AS23" s="35" t="s">
        <v>126</v>
      </c>
      <c r="AT23" s="35">
        <v>40676</v>
      </c>
      <c r="AU23" s="2">
        <v>3.3</v>
      </c>
      <c r="AV23" s="2">
        <v>0</v>
      </c>
      <c r="AW23" s="35" t="s">
        <v>126</v>
      </c>
      <c r="AX23" s="35">
        <v>40500</v>
      </c>
      <c r="AY23" s="2">
        <v>6</v>
      </c>
      <c r="AZ23" s="2">
        <v>0</v>
      </c>
    </row>
    <row r="24" spans="1:52" ht="11.25">
      <c r="A24" s="13" t="s">
        <v>23</v>
      </c>
      <c r="B24" s="37" t="str">
        <f t="shared" si="0"/>
        <v>LEI</v>
      </c>
      <c r="C24" s="112">
        <v>21</v>
      </c>
      <c r="D24" s="112">
        <v>16.3541</v>
      </c>
      <c r="E24" s="112">
        <v>10.480764475198033</v>
      </c>
      <c r="F24" s="14">
        <v>41090</v>
      </c>
      <c r="G24" s="14">
        <v>42551</v>
      </c>
      <c r="H24" s="15">
        <f t="shared" si="1"/>
        <v>306</v>
      </c>
      <c r="I24" s="15">
        <f t="shared" si="2"/>
        <v>1767</v>
      </c>
      <c r="J24" s="106" t="e">
        <f>HLOOKUP(A24,'Investment Details (1)'!$C$8:$Z$36,11,FALSE)</f>
        <v>#N/A</v>
      </c>
      <c r="K24" s="16">
        <f t="shared" si="3"/>
        <v>5.834864475198032</v>
      </c>
      <c r="L24" s="16" t="e">
        <f t="shared" si="4"/>
        <v>#N/A</v>
      </c>
      <c r="M24" s="16" t="e">
        <f t="shared" si="5"/>
        <v>#N/A</v>
      </c>
      <c r="N24" s="17" t="e">
        <f t="shared" si="6"/>
        <v>#N/A</v>
      </c>
      <c r="O24" s="75" t="e">
        <f>HLOOKUP(A24,'Investment Details (1)'!$C$8:$Z$36,15,FALSE)</f>
        <v>#N/A</v>
      </c>
      <c r="P24" s="63" t="e">
        <f t="shared" si="13"/>
        <v>#N/A</v>
      </c>
      <c r="Q24" s="63" t="e">
        <f t="shared" si="7"/>
        <v>#N/A</v>
      </c>
      <c r="R24" s="63" t="e">
        <f t="shared" si="7"/>
        <v>#N/A</v>
      </c>
      <c r="S24" s="63" t="e">
        <f t="shared" si="7"/>
        <v>#N/A</v>
      </c>
      <c r="T24" s="63" t="e">
        <f t="shared" si="7"/>
        <v>#N/A</v>
      </c>
      <c r="U24" s="31">
        <f t="shared" si="14"/>
        <v>1</v>
      </c>
      <c r="V24" s="36">
        <f t="shared" si="15"/>
        <v>0.85</v>
      </c>
      <c r="W24" s="36">
        <f t="shared" si="16"/>
        <v>0.6</v>
      </c>
      <c r="X24" s="31">
        <f t="shared" si="17"/>
        <v>0.06904761904761905</v>
      </c>
      <c r="Y24" s="111" t="e">
        <f>HLOOKUP(A24,'Investment Details (1)'!$C$8:$Z$36,12,FALSE)</f>
        <v>#N/A</v>
      </c>
      <c r="Z24" s="18" t="e">
        <f t="shared" si="18"/>
        <v>#N/A</v>
      </c>
      <c r="AA24" s="18" t="e">
        <f t="shared" si="19"/>
        <v>#N/A</v>
      </c>
      <c r="AB24" s="18" t="e">
        <f t="shared" si="20"/>
        <v>#N/A</v>
      </c>
      <c r="AC24" s="18" t="e">
        <f t="shared" si="21"/>
        <v>#N/A</v>
      </c>
      <c r="AD24" s="18" t="e">
        <f t="shared" si="22"/>
        <v>#N/A</v>
      </c>
      <c r="AE24" s="64" t="e">
        <f t="shared" si="23"/>
        <v>#N/A</v>
      </c>
      <c r="AF24" s="64" t="e">
        <f t="shared" si="24"/>
        <v>#N/A</v>
      </c>
      <c r="AG24" s="64" t="e">
        <f t="shared" si="25"/>
        <v>#N/A</v>
      </c>
      <c r="AH24" s="64" t="e">
        <f t="shared" si="26"/>
        <v>#N/A</v>
      </c>
      <c r="AI24" s="64">
        <v>0</v>
      </c>
      <c r="AJ24" s="69" t="e">
        <f t="shared" si="8"/>
        <v>#N/A</v>
      </c>
      <c r="AK24" s="69" t="e">
        <f t="shared" si="9"/>
        <v>#N/A</v>
      </c>
      <c r="AL24" s="69" t="e">
        <f t="shared" si="10"/>
        <v>#N/A</v>
      </c>
      <c r="AM24" s="69" t="e">
        <f t="shared" si="11"/>
        <v>#N/A</v>
      </c>
      <c r="AN24" s="70" t="e">
        <f t="shared" si="12"/>
        <v>#N/A</v>
      </c>
      <c r="AS24" s="35" t="s">
        <v>88</v>
      </c>
      <c r="AT24" s="35">
        <v>40613</v>
      </c>
      <c r="AU24" s="2">
        <v>60</v>
      </c>
      <c r="AV24" s="2">
        <v>100</v>
      </c>
      <c r="AW24" s="35" t="s">
        <v>88</v>
      </c>
      <c r="AX24" s="35">
        <v>40427</v>
      </c>
      <c r="AY24" s="2">
        <v>85</v>
      </c>
      <c r="AZ24" s="2">
        <v>100</v>
      </c>
    </row>
    <row r="25" spans="1:52" ht="11.25">
      <c r="A25" s="13" t="s">
        <v>24</v>
      </c>
      <c r="B25" s="37" t="str">
        <f t="shared" si="0"/>
        <v>LLC</v>
      </c>
      <c r="C25" s="112">
        <v>7.889999866485596</v>
      </c>
      <c r="D25" s="112">
        <v>4.6333</v>
      </c>
      <c r="E25" s="112">
        <v>4.615495588763406</v>
      </c>
      <c r="F25" s="14">
        <v>41090</v>
      </c>
      <c r="G25" s="14">
        <v>42551</v>
      </c>
      <c r="H25" s="15">
        <f t="shared" si="1"/>
        <v>306</v>
      </c>
      <c r="I25" s="15">
        <f t="shared" si="2"/>
        <v>1767</v>
      </c>
      <c r="J25" s="106" t="e">
        <f>HLOOKUP(A25,'Investment Details (1)'!$C$8:$Z$36,11,FALSE)</f>
        <v>#N/A</v>
      </c>
      <c r="K25" s="16">
        <f t="shared" si="3"/>
        <v>1.3587957222778106</v>
      </c>
      <c r="L25" s="16" t="e">
        <f t="shared" si="4"/>
        <v>#N/A</v>
      </c>
      <c r="M25" s="16" t="e">
        <f t="shared" si="5"/>
        <v>#N/A</v>
      </c>
      <c r="N25" s="17" t="e">
        <f t="shared" si="6"/>
        <v>#N/A</v>
      </c>
      <c r="O25" s="75" t="e">
        <f>HLOOKUP(A25,'Investment Details (1)'!$C$8:$Z$36,15,FALSE)</f>
        <v>#N/A</v>
      </c>
      <c r="P25" s="63" t="e">
        <f t="shared" si="13"/>
        <v>#N/A</v>
      </c>
      <c r="Q25" s="63" t="e">
        <f t="shared" si="7"/>
        <v>#N/A</v>
      </c>
      <c r="R25" s="63" t="e">
        <f t="shared" si="7"/>
        <v>#N/A</v>
      </c>
      <c r="S25" s="63" t="e">
        <f t="shared" si="7"/>
        <v>#N/A</v>
      </c>
      <c r="T25" s="63" t="e">
        <f t="shared" si="7"/>
        <v>#N/A</v>
      </c>
      <c r="U25" s="31">
        <f t="shared" si="14"/>
        <v>0.5</v>
      </c>
      <c r="V25" s="36">
        <f t="shared" si="15"/>
        <v>0.12</v>
      </c>
      <c r="W25" s="36">
        <f t="shared" si="16"/>
        <v>0.2</v>
      </c>
      <c r="X25" s="31">
        <f t="shared" si="17"/>
        <v>0.040557668620409756</v>
      </c>
      <c r="Y25" s="111" t="e">
        <f>HLOOKUP(A25,'Investment Details (1)'!$C$8:$Z$36,12,FALSE)</f>
        <v>#N/A</v>
      </c>
      <c r="Z25" s="18" t="e">
        <f t="shared" si="18"/>
        <v>#N/A</v>
      </c>
      <c r="AA25" s="18" t="e">
        <f t="shared" si="19"/>
        <v>#N/A</v>
      </c>
      <c r="AB25" s="18" t="e">
        <f t="shared" si="20"/>
        <v>#N/A</v>
      </c>
      <c r="AC25" s="18" t="e">
        <f t="shared" si="21"/>
        <v>#N/A</v>
      </c>
      <c r="AD25" s="18" t="e">
        <f t="shared" si="22"/>
        <v>#N/A</v>
      </c>
      <c r="AE25" s="64" t="e">
        <f t="shared" si="23"/>
        <v>#N/A</v>
      </c>
      <c r="AF25" s="64" t="e">
        <f t="shared" si="24"/>
        <v>#N/A</v>
      </c>
      <c r="AG25" s="64" t="e">
        <f t="shared" si="25"/>
        <v>#N/A</v>
      </c>
      <c r="AH25" s="64" t="e">
        <f t="shared" si="26"/>
        <v>#N/A</v>
      </c>
      <c r="AI25" s="64">
        <v>0</v>
      </c>
      <c r="AJ25" s="69" t="e">
        <f t="shared" si="8"/>
        <v>#N/A</v>
      </c>
      <c r="AK25" s="69" t="e">
        <f t="shared" si="9"/>
        <v>#N/A</v>
      </c>
      <c r="AL25" s="69" t="e">
        <f t="shared" si="10"/>
        <v>#N/A</v>
      </c>
      <c r="AM25" s="69" t="e">
        <f t="shared" si="11"/>
        <v>#N/A</v>
      </c>
      <c r="AN25" s="70" t="e">
        <f t="shared" si="12"/>
        <v>#N/A</v>
      </c>
      <c r="AS25" s="35" t="s">
        <v>89</v>
      </c>
      <c r="AT25" s="35">
        <v>40606</v>
      </c>
      <c r="AU25" s="2">
        <v>20</v>
      </c>
      <c r="AV25" s="2">
        <v>50</v>
      </c>
      <c r="AW25" s="35" t="s">
        <v>89</v>
      </c>
      <c r="AX25" s="35">
        <v>40427</v>
      </c>
      <c r="AY25" s="2">
        <v>12</v>
      </c>
      <c r="AZ25" s="2">
        <v>100</v>
      </c>
    </row>
    <row r="26" spans="1:52" ht="11.25">
      <c r="A26" s="13" t="s">
        <v>25</v>
      </c>
      <c r="B26" s="37" t="str">
        <f t="shared" si="0"/>
        <v>MQG</v>
      </c>
      <c r="C26" s="112">
        <v>24.25</v>
      </c>
      <c r="D26" s="112">
        <v>20.4725</v>
      </c>
      <c r="E26" s="112">
        <v>12.35917914300961</v>
      </c>
      <c r="F26" s="14">
        <v>41090</v>
      </c>
      <c r="G26" s="14">
        <v>42551</v>
      </c>
      <c r="H26" s="15">
        <f t="shared" si="1"/>
        <v>306</v>
      </c>
      <c r="I26" s="15">
        <f t="shared" si="2"/>
        <v>1767</v>
      </c>
      <c r="J26" s="106" t="e">
        <f>HLOOKUP(A26,'Investment Details (1)'!$C$8:$Z$36,11,FALSE)</f>
        <v>#N/A</v>
      </c>
      <c r="K26" s="16">
        <f t="shared" si="3"/>
        <v>8.58167914300961</v>
      </c>
      <c r="L26" s="16" t="e">
        <f t="shared" si="4"/>
        <v>#N/A</v>
      </c>
      <c r="M26" s="16" t="e">
        <f t="shared" si="5"/>
        <v>#N/A</v>
      </c>
      <c r="N26" s="17" t="e">
        <f t="shared" si="6"/>
        <v>#N/A</v>
      </c>
      <c r="O26" s="75" t="e">
        <f>HLOOKUP(A26,'Investment Details (1)'!$C$8:$Z$36,15,FALSE)</f>
        <v>#N/A</v>
      </c>
      <c r="P26" s="63" t="e">
        <f t="shared" si="13"/>
        <v>#N/A</v>
      </c>
      <c r="Q26" s="63" t="e">
        <f t="shared" si="7"/>
        <v>#N/A</v>
      </c>
      <c r="R26" s="63" t="e">
        <f t="shared" si="7"/>
        <v>#N/A</v>
      </c>
      <c r="S26" s="63" t="e">
        <f t="shared" si="7"/>
        <v>#N/A</v>
      </c>
      <c r="T26" s="63" t="e">
        <f t="shared" si="7"/>
        <v>#N/A</v>
      </c>
      <c r="U26" s="31">
        <f t="shared" si="14"/>
        <v>0</v>
      </c>
      <c r="V26" s="36">
        <f t="shared" si="15"/>
        <v>0.86</v>
      </c>
      <c r="W26" s="36">
        <f t="shared" si="16"/>
        <v>1</v>
      </c>
      <c r="X26" s="31">
        <f t="shared" si="17"/>
        <v>0.07670103092783505</v>
      </c>
      <c r="Y26" s="111" t="e">
        <f>HLOOKUP(A26,'Investment Details (1)'!$C$8:$Z$36,12,FALSE)</f>
        <v>#N/A</v>
      </c>
      <c r="Z26" s="18" t="e">
        <f t="shared" si="18"/>
        <v>#N/A</v>
      </c>
      <c r="AA26" s="18" t="e">
        <f t="shared" si="19"/>
        <v>#N/A</v>
      </c>
      <c r="AB26" s="18" t="e">
        <f t="shared" si="20"/>
        <v>#N/A</v>
      </c>
      <c r="AC26" s="18" t="e">
        <f t="shared" si="21"/>
        <v>#N/A</v>
      </c>
      <c r="AD26" s="18" t="e">
        <f t="shared" si="22"/>
        <v>#N/A</v>
      </c>
      <c r="AE26" s="64" t="e">
        <f t="shared" si="23"/>
        <v>#N/A</v>
      </c>
      <c r="AF26" s="64" t="e">
        <f t="shared" si="24"/>
        <v>#N/A</v>
      </c>
      <c r="AG26" s="64" t="e">
        <f t="shared" si="25"/>
        <v>#N/A</v>
      </c>
      <c r="AH26" s="64" t="e">
        <f t="shared" si="26"/>
        <v>#N/A</v>
      </c>
      <c r="AI26" s="64">
        <v>0</v>
      </c>
      <c r="AJ26" s="69" t="e">
        <f t="shared" si="8"/>
        <v>#N/A</v>
      </c>
      <c r="AK26" s="69" t="e">
        <f t="shared" si="9"/>
        <v>#N/A</v>
      </c>
      <c r="AL26" s="69" t="e">
        <f t="shared" si="10"/>
        <v>#N/A</v>
      </c>
      <c r="AM26" s="69" t="e">
        <f t="shared" si="11"/>
        <v>#N/A</v>
      </c>
      <c r="AN26" s="70" t="e">
        <f t="shared" si="12"/>
        <v>#N/A</v>
      </c>
      <c r="AS26" s="35" t="s">
        <v>90</v>
      </c>
      <c r="AT26" s="35">
        <v>40672</v>
      </c>
      <c r="AU26" s="2">
        <v>100</v>
      </c>
      <c r="AV26" s="2">
        <v>0</v>
      </c>
      <c r="AW26" s="35" t="s">
        <v>90</v>
      </c>
      <c r="AX26" s="35">
        <v>40490</v>
      </c>
      <c r="AY26" s="2">
        <v>86</v>
      </c>
      <c r="AZ26" s="2">
        <v>0</v>
      </c>
    </row>
    <row r="27" spans="1:52" ht="11.25">
      <c r="A27" s="13" t="s">
        <v>26</v>
      </c>
      <c r="B27" s="37" t="str">
        <f t="shared" si="0"/>
        <v>NAB</v>
      </c>
      <c r="C27" s="112">
        <v>23.149999618530273</v>
      </c>
      <c r="D27" s="112">
        <v>13.1024</v>
      </c>
      <c r="E27" s="112">
        <v>13.086490000054745</v>
      </c>
      <c r="F27" s="14">
        <v>41090</v>
      </c>
      <c r="G27" s="14">
        <v>42551</v>
      </c>
      <c r="H27" s="15">
        <f t="shared" si="1"/>
        <v>306</v>
      </c>
      <c r="I27" s="15">
        <f t="shared" si="2"/>
        <v>1767</v>
      </c>
      <c r="J27" s="106" t="e">
        <f>HLOOKUP(A27,'Investment Details (1)'!$C$8:$Z$36,11,FALSE)</f>
        <v>#N/A</v>
      </c>
      <c r="K27" s="16">
        <f t="shared" si="3"/>
        <v>3.038890381524471</v>
      </c>
      <c r="L27" s="16" t="e">
        <f t="shared" si="4"/>
        <v>#N/A</v>
      </c>
      <c r="M27" s="16" t="e">
        <f t="shared" si="5"/>
        <v>#N/A</v>
      </c>
      <c r="N27" s="17" t="e">
        <f t="shared" si="6"/>
        <v>#N/A</v>
      </c>
      <c r="O27" s="75" t="e">
        <f>HLOOKUP(A27,'Investment Details (1)'!$C$8:$Z$36,15,FALSE)</f>
        <v>#N/A</v>
      </c>
      <c r="P27" s="63" t="e">
        <f t="shared" si="13"/>
        <v>#N/A</v>
      </c>
      <c r="Q27" s="63" t="e">
        <f t="shared" si="7"/>
        <v>#N/A</v>
      </c>
      <c r="R27" s="63" t="e">
        <f t="shared" si="7"/>
        <v>#N/A</v>
      </c>
      <c r="S27" s="63" t="e">
        <f t="shared" si="7"/>
        <v>#N/A</v>
      </c>
      <c r="T27" s="63" t="e">
        <f t="shared" si="7"/>
        <v>#N/A</v>
      </c>
      <c r="U27" s="31">
        <f t="shared" si="14"/>
        <v>1</v>
      </c>
      <c r="V27" s="36">
        <f t="shared" si="15"/>
        <v>0.78</v>
      </c>
      <c r="W27" s="36">
        <f t="shared" si="16"/>
        <v>0.84</v>
      </c>
      <c r="X27" s="31">
        <f t="shared" si="17"/>
        <v>0.06997840288097806</v>
      </c>
      <c r="Y27" s="111" t="e">
        <f>HLOOKUP(A27,'Investment Details (1)'!$C$8:$Z$36,12,FALSE)</f>
        <v>#N/A</v>
      </c>
      <c r="Z27" s="18" t="e">
        <f t="shared" si="18"/>
        <v>#N/A</v>
      </c>
      <c r="AA27" s="18" t="e">
        <f t="shared" si="19"/>
        <v>#N/A</v>
      </c>
      <c r="AB27" s="18" t="e">
        <f t="shared" si="20"/>
        <v>#N/A</v>
      </c>
      <c r="AC27" s="18" t="e">
        <f t="shared" si="21"/>
        <v>#N/A</v>
      </c>
      <c r="AD27" s="18" t="e">
        <f t="shared" si="22"/>
        <v>#N/A</v>
      </c>
      <c r="AE27" s="64" t="e">
        <f t="shared" si="23"/>
        <v>#N/A</v>
      </c>
      <c r="AF27" s="64" t="e">
        <f t="shared" si="24"/>
        <v>#N/A</v>
      </c>
      <c r="AG27" s="64" t="e">
        <f t="shared" si="25"/>
        <v>#N/A</v>
      </c>
      <c r="AH27" s="64" t="e">
        <f t="shared" si="26"/>
        <v>#N/A</v>
      </c>
      <c r="AI27" s="64">
        <v>0</v>
      </c>
      <c r="AJ27" s="69" t="e">
        <f t="shared" si="8"/>
        <v>#N/A</v>
      </c>
      <c r="AK27" s="69" t="e">
        <f t="shared" si="9"/>
        <v>#N/A</v>
      </c>
      <c r="AL27" s="69" t="e">
        <f t="shared" si="10"/>
        <v>#N/A</v>
      </c>
      <c r="AM27" s="69" t="e">
        <f t="shared" si="11"/>
        <v>#N/A</v>
      </c>
      <c r="AN27" s="70" t="e">
        <f t="shared" si="12"/>
        <v>#N/A</v>
      </c>
      <c r="AS27" s="35" t="s">
        <v>91</v>
      </c>
      <c r="AT27" s="35">
        <v>40696</v>
      </c>
      <c r="AU27" s="2">
        <v>84</v>
      </c>
      <c r="AV27" s="2">
        <v>100</v>
      </c>
      <c r="AW27" s="35" t="s">
        <v>91</v>
      </c>
      <c r="AX27" s="35">
        <v>40494</v>
      </c>
      <c r="AY27" s="2">
        <v>78</v>
      </c>
      <c r="AZ27" s="2">
        <v>100</v>
      </c>
    </row>
    <row r="28" spans="1:52" ht="11.25">
      <c r="A28" s="13" t="s">
        <v>27</v>
      </c>
      <c r="B28" s="37" t="str">
        <f t="shared" si="0"/>
        <v>NCM</v>
      </c>
      <c r="C28" s="112">
        <v>39.4900016784668</v>
      </c>
      <c r="D28" s="112">
        <v>20.3648</v>
      </c>
      <c r="E28" s="112">
        <v>24.677266973268377</v>
      </c>
      <c r="F28" s="14">
        <v>41090</v>
      </c>
      <c r="G28" s="14">
        <v>42551</v>
      </c>
      <c r="H28" s="15">
        <f t="shared" si="1"/>
        <v>306</v>
      </c>
      <c r="I28" s="15">
        <f t="shared" si="2"/>
        <v>1767</v>
      </c>
      <c r="J28" s="106" t="e">
        <f>HLOOKUP(A28,'Investment Details (1)'!$C$8:$Z$36,11,FALSE)</f>
        <v>#N/A</v>
      </c>
      <c r="K28" s="16">
        <f t="shared" si="3"/>
        <v>5.552065294801579</v>
      </c>
      <c r="L28" s="16" t="e">
        <f t="shared" si="4"/>
        <v>#N/A</v>
      </c>
      <c r="M28" s="16" t="e">
        <f t="shared" si="5"/>
        <v>#N/A</v>
      </c>
      <c r="N28" s="17" t="e">
        <f t="shared" si="6"/>
        <v>#N/A</v>
      </c>
      <c r="O28" s="75" t="e">
        <f>HLOOKUP(A28,'Investment Details (1)'!$C$8:$Z$36,15,FALSE)</f>
        <v>#N/A</v>
      </c>
      <c r="P28" s="63" t="e">
        <f t="shared" si="13"/>
        <v>#N/A</v>
      </c>
      <c r="Q28" s="63" t="e">
        <f aca="true" t="shared" si="27" ref="Q28:T44">P28*(1+$O28)</f>
        <v>#N/A</v>
      </c>
      <c r="R28" s="63" t="e">
        <f t="shared" si="27"/>
        <v>#N/A</v>
      </c>
      <c r="S28" s="63" t="e">
        <f t="shared" si="27"/>
        <v>#N/A</v>
      </c>
      <c r="T28" s="63" t="e">
        <f t="shared" si="27"/>
        <v>#N/A</v>
      </c>
      <c r="U28" s="31">
        <f t="shared" si="14"/>
        <v>0</v>
      </c>
      <c r="V28" s="36">
        <f t="shared" si="15"/>
        <v>0.2</v>
      </c>
      <c r="W28" s="36">
        <f t="shared" si="16"/>
        <v>0.1</v>
      </c>
      <c r="X28" s="31">
        <f t="shared" si="17"/>
        <v>0.007596859641654175</v>
      </c>
      <c r="Y28" s="111" t="e">
        <f>HLOOKUP(A28,'Investment Details (1)'!$C$8:$Z$36,12,FALSE)</f>
        <v>#N/A</v>
      </c>
      <c r="Z28" s="18" t="e">
        <f t="shared" si="18"/>
        <v>#N/A</v>
      </c>
      <c r="AA28" s="18" t="e">
        <f t="shared" si="19"/>
        <v>#N/A</v>
      </c>
      <c r="AB28" s="18" t="e">
        <f t="shared" si="20"/>
        <v>#N/A</v>
      </c>
      <c r="AC28" s="18" t="e">
        <f t="shared" si="21"/>
        <v>#N/A</v>
      </c>
      <c r="AD28" s="18" t="e">
        <f t="shared" si="22"/>
        <v>#N/A</v>
      </c>
      <c r="AE28" s="64" t="e">
        <f t="shared" si="23"/>
        <v>#N/A</v>
      </c>
      <c r="AF28" s="64" t="e">
        <f t="shared" si="24"/>
        <v>#N/A</v>
      </c>
      <c r="AG28" s="64" t="e">
        <f t="shared" si="25"/>
        <v>#N/A</v>
      </c>
      <c r="AH28" s="64" t="e">
        <f t="shared" si="26"/>
        <v>#N/A</v>
      </c>
      <c r="AI28" s="64">
        <v>0</v>
      </c>
      <c r="AJ28" s="69" t="e">
        <f t="shared" si="8"/>
        <v>#N/A</v>
      </c>
      <c r="AK28" s="69" t="e">
        <f t="shared" si="9"/>
        <v>#N/A</v>
      </c>
      <c r="AL28" s="69" t="e">
        <f t="shared" si="10"/>
        <v>#N/A</v>
      </c>
      <c r="AM28" s="69" t="e">
        <f t="shared" si="11"/>
        <v>#N/A</v>
      </c>
      <c r="AN28" s="70" t="e">
        <f t="shared" si="12"/>
        <v>#N/A</v>
      </c>
      <c r="AS28" s="35" t="s">
        <v>92</v>
      </c>
      <c r="AT28" s="35">
        <v>40623</v>
      </c>
      <c r="AU28" s="2">
        <v>10</v>
      </c>
      <c r="AV28" s="2">
        <v>0</v>
      </c>
      <c r="AW28" s="35" t="s">
        <v>92</v>
      </c>
      <c r="AX28" s="35">
        <v>40448</v>
      </c>
      <c r="AY28" s="2">
        <v>20</v>
      </c>
      <c r="AZ28" s="2">
        <v>0</v>
      </c>
    </row>
    <row r="29" spans="1:52" ht="11.25">
      <c r="A29" s="13" t="s">
        <v>28</v>
      </c>
      <c r="B29" s="37" t="str">
        <f t="shared" si="0"/>
        <v>NWS</v>
      </c>
      <c r="C29" s="112">
        <v>15.869999885559082</v>
      </c>
      <c r="D29" s="112">
        <v>9.0909</v>
      </c>
      <c r="E29" s="112">
        <v>9.688581150923671</v>
      </c>
      <c r="F29" s="14">
        <v>41090</v>
      </c>
      <c r="G29" s="14">
        <v>42551</v>
      </c>
      <c r="H29" s="15">
        <f t="shared" si="1"/>
        <v>306</v>
      </c>
      <c r="I29" s="15">
        <f t="shared" si="2"/>
        <v>1767</v>
      </c>
      <c r="J29" s="106" t="e">
        <f>HLOOKUP(A29,'Investment Details (1)'!$C$8:$Z$36,11,FALSE)</f>
        <v>#N/A</v>
      </c>
      <c r="K29" s="16">
        <f t="shared" si="3"/>
        <v>2.9094812653645885</v>
      </c>
      <c r="L29" s="16" t="e">
        <f t="shared" si="4"/>
        <v>#N/A</v>
      </c>
      <c r="M29" s="16" t="e">
        <f t="shared" si="5"/>
        <v>#N/A</v>
      </c>
      <c r="N29" s="17" t="e">
        <f t="shared" si="6"/>
        <v>#N/A</v>
      </c>
      <c r="O29" s="75" t="e">
        <f>HLOOKUP(A29,'Investment Details (1)'!$C$8:$Z$36,15,FALSE)</f>
        <v>#N/A</v>
      </c>
      <c r="P29" s="63" t="e">
        <f t="shared" si="13"/>
        <v>#N/A</v>
      </c>
      <c r="Q29" s="63" t="e">
        <f t="shared" si="27"/>
        <v>#N/A</v>
      </c>
      <c r="R29" s="63" t="e">
        <f t="shared" si="27"/>
        <v>#N/A</v>
      </c>
      <c r="S29" s="63" t="e">
        <f t="shared" si="27"/>
        <v>#N/A</v>
      </c>
      <c r="T29" s="63" t="e">
        <f t="shared" si="27"/>
        <v>#N/A</v>
      </c>
      <c r="U29" s="31">
        <f t="shared" si="14"/>
        <v>0</v>
      </c>
      <c r="V29" s="36">
        <f t="shared" si="15"/>
        <v>0.069429</v>
      </c>
      <c r="W29" s="36">
        <f t="shared" si="16"/>
        <v>0.064793</v>
      </c>
      <c r="X29" s="31">
        <f t="shared" si="17"/>
        <v>0.00845759300364806</v>
      </c>
      <c r="Y29" s="111" t="e">
        <f>HLOOKUP(A29,'Investment Details (1)'!$C$8:$Z$36,12,FALSE)</f>
        <v>#N/A</v>
      </c>
      <c r="Z29" s="18" t="e">
        <f t="shared" si="18"/>
        <v>#N/A</v>
      </c>
      <c r="AA29" s="18" t="e">
        <f t="shared" si="19"/>
        <v>#N/A</v>
      </c>
      <c r="AB29" s="18" t="e">
        <f t="shared" si="20"/>
        <v>#N/A</v>
      </c>
      <c r="AC29" s="18" t="e">
        <f t="shared" si="21"/>
        <v>#N/A</v>
      </c>
      <c r="AD29" s="18" t="e">
        <f t="shared" si="22"/>
        <v>#N/A</v>
      </c>
      <c r="AE29" s="64" t="e">
        <f t="shared" si="23"/>
        <v>#N/A</v>
      </c>
      <c r="AF29" s="64" t="e">
        <f t="shared" si="24"/>
        <v>#N/A</v>
      </c>
      <c r="AG29" s="64" t="e">
        <f t="shared" si="25"/>
        <v>#N/A</v>
      </c>
      <c r="AH29" s="64" t="e">
        <f t="shared" si="26"/>
        <v>#N/A</v>
      </c>
      <c r="AI29" s="64">
        <v>0</v>
      </c>
      <c r="AJ29" s="69" t="e">
        <f t="shared" si="8"/>
        <v>#N/A</v>
      </c>
      <c r="AK29" s="69" t="e">
        <f t="shared" si="9"/>
        <v>#N/A</v>
      </c>
      <c r="AL29" s="69" t="e">
        <f t="shared" si="10"/>
        <v>#N/A</v>
      </c>
      <c r="AM29" s="69" t="e">
        <f t="shared" si="11"/>
        <v>#N/A</v>
      </c>
      <c r="AN29" s="70" t="e">
        <f t="shared" si="12"/>
        <v>#N/A</v>
      </c>
      <c r="AS29" s="35" t="s">
        <v>93</v>
      </c>
      <c r="AT29" s="35">
        <v>40611</v>
      </c>
      <c r="AU29" s="2">
        <v>6.4793</v>
      </c>
      <c r="AV29" s="2">
        <v>0</v>
      </c>
      <c r="AW29" s="35" t="s">
        <v>93</v>
      </c>
      <c r="AX29" s="35">
        <v>40423</v>
      </c>
      <c r="AY29" s="2">
        <v>6.9429</v>
      </c>
      <c r="AZ29" s="2">
        <v>0</v>
      </c>
    </row>
    <row r="30" spans="1:52" ht="11.25">
      <c r="A30" s="13" t="s">
        <v>29</v>
      </c>
      <c r="B30" s="37" t="str">
        <f t="shared" si="0"/>
        <v>ORG</v>
      </c>
      <c r="C30" s="112">
        <v>14.199999809265137</v>
      </c>
      <c r="D30" s="112">
        <v>8.7471</v>
      </c>
      <c r="E30" s="112">
        <v>8.090153177859749</v>
      </c>
      <c r="F30" s="14">
        <v>41090</v>
      </c>
      <c r="G30" s="14">
        <v>42551</v>
      </c>
      <c r="H30" s="15">
        <f t="shared" si="1"/>
        <v>306</v>
      </c>
      <c r="I30" s="15">
        <f t="shared" si="2"/>
        <v>1767</v>
      </c>
      <c r="J30" s="106" t="e">
        <f>HLOOKUP(A30,'Investment Details (1)'!$C$8:$Z$36,11,FALSE)</f>
        <v>#N/A</v>
      </c>
      <c r="K30" s="16">
        <f t="shared" si="3"/>
        <v>2.637253368594612</v>
      </c>
      <c r="L30" s="16" t="e">
        <f t="shared" si="4"/>
        <v>#N/A</v>
      </c>
      <c r="M30" s="16" t="e">
        <f t="shared" si="5"/>
        <v>#N/A</v>
      </c>
      <c r="N30" s="17" t="e">
        <f t="shared" si="6"/>
        <v>#N/A</v>
      </c>
      <c r="O30" s="75" t="e">
        <f>HLOOKUP(A30,'Investment Details (1)'!$C$8:$Z$36,15,FALSE)</f>
        <v>#N/A</v>
      </c>
      <c r="P30" s="63" t="e">
        <f t="shared" si="13"/>
        <v>#N/A</v>
      </c>
      <c r="Q30" s="63" t="e">
        <f t="shared" si="27"/>
        <v>#N/A</v>
      </c>
      <c r="R30" s="63" t="e">
        <f t="shared" si="27"/>
        <v>#N/A</v>
      </c>
      <c r="S30" s="63" t="e">
        <f t="shared" si="27"/>
        <v>#N/A</v>
      </c>
      <c r="T30" s="63" t="e">
        <f t="shared" si="27"/>
        <v>#N/A</v>
      </c>
      <c r="U30" s="31">
        <f t="shared" si="14"/>
        <v>1</v>
      </c>
      <c r="V30" s="36">
        <f t="shared" si="15"/>
        <v>0.25</v>
      </c>
      <c r="W30" s="36">
        <f t="shared" si="16"/>
        <v>0.25</v>
      </c>
      <c r="X30" s="31">
        <f t="shared" si="17"/>
        <v>0.035211268078592706</v>
      </c>
      <c r="Y30" s="111" t="e">
        <f>HLOOKUP(A30,'Investment Details (1)'!$C$8:$Z$36,12,FALSE)</f>
        <v>#N/A</v>
      </c>
      <c r="Z30" s="18" t="e">
        <f t="shared" si="18"/>
        <v>#N/A</v>
      </c>
      <c r="AA30" s="18" t="e">
        <f t="shared" si="19"/>
        <v>#N/A</v>
      </c>
      <c r="AB30" s="18" t="e">
        <f t="shared" si="20"/>
        <v>#N/A</v>
      </c>
      <c r="AC30" s="18" t="e">
        <f t="shared" si="21"/>
        <v>#N/A</v>
      </c>
      <c r="AD30" s="18" t="e">
        <f t="shared" si="22"/>
        <v>#N/A</v>
      </c>
      <c r="AE30" s="64" t="e">
        <f t="shared" si="23"/>
        <v>#N/A</v>
      </c>
      <c r="AF30" s="64" t="e">
        <f t="shared" si="24"/>
        <v>#N/A</v>
      </c>
      <c r="AG30" s="64" t="e">
        <f t="shared" si="25"/>
        <v>#N/A</v>
      </c>
      <c r="AH30" s="64" t="e">
        <f t="shared" si="26"/>
        <v>#N/A</v>
      </c>
      <c r="AI30" s="64">
        <v>0</v>
      </c>
      <c r="AJ30" s="69" t="e">
        <f t="shared" si="8"/>
        <v>#N/A</v>
      </c>
      <c r="AK30" s="69" t="e">
        <f t="shared" si="9"/>
        <v>#N/A</v>
      </c>
      <c r="AL30" s="69" t="e">
        <f t="shared" si="10"/>
        <v>#N/A</v>
      </c>
      <c r="AM30" s="69" t="e">
        <f t="shared" si="11"/>
        <v>#N/A</v>
      </c>
      <c r="AN30" s="70" t="e">
        <f t="shared" si="12"/>
        <v>#N/A</v>
      </c>
      <c r="AS30" s="35" t="s">
        <v>94</v>
      </c>
      <c r="AT30" s="35">
        <v>40603</v>
      </c>
      <c r="AU30" s="2">
        <v>25</v>
      </c>
      <c r="AV30" s="2">
        <v>100</v>
      </c>
      <c r="AW30" s="35" t="s">
        <v>94</v>
      </c>
      <c r="AX30" s="35">
        <v>40421</v>
      </c>
      <c r="AY30" s="2">
        <v>25</v>
      </c>
      <c r="AZ30" s="2">
        <v>100</v>
      </c>
    </row>
    <row r="31" spans="1:52" ht="11.25">
      <c r="A31" s="13" t="s">
        <v>120</v>
      </c>
      <c r="B31" s="37" t="str">
        <f t="shared" si="0"/>
        <v>ORI</v>
      </c>
      <c r="C31" s="112">
        <v>23.139999389648438</v>
      </c>
      <c r="D31" s="112">
        <v>13.5</v>
      </c>
      <c r="E31" s="112">
        <v>12.658594251840922</v>
      </c>
      <c r="F31" s="14">
        <v>41090</v>
      </c>
      <c r="G31" s="14">
        <v>42551</v>
      </c>
      <c r="H31" s="15">
        <f t="shared" si="1"/>
        <v>306</v>
      </c>
      <c r="I31" s="15">
        <f t="shared" si="2"/>
        <v>1767</v>
      </c>
      <c r="J31" s="106" t="e">
        <f>HLOOKUP(A31,'Investment Details (1)'!$C$8:$Z$36,11,FALSE)</f>
        <v>#N/A</v>
      </c>
      <c r="K31" s="16">
        <f t="shared" si="3"/>
        <v>3.0185948621924847</v>
      </c>
      <c r="L31" s="16" t="e">
        <f t="shared" si="4"/>
        <v>#N/A</v>
      </c>
      <c r="M31" s="16" t="e">
        <f t="shared" si="5"/>
        <v>#N/A</v>
      </c>
      <c r="N31" s="17" t="e">
        <f t="shared" si="6"/>
        <v>#N/A</v>
      </c>
      <c r="O31" s="75" t="e">
        <f>HLOOKUP(A31,'Investment Details (1)'!$C$8:$Z$36,15,FALSE)</f>
        <v>#N/A</v>
      </c>
      <c r="P31" s="63" t="e">
        <f t="shared" si="13"/>
        <v>#N/A</v>
      </c>
      <c r="Q31" s="63" t="e">
        <f t="shared" si="27"/>
        <v>#N/A</v>
      </c>
      <c r="R31" s="63" t="e">
        <f t="shared" si="27"/>
        <v>#N/A</v>
      </c>
      <c r="S31" s="63" t="e">
        <f t="shared" si="27"/>
        <v>#N/A</v>
      </c>
      <c r="T31" s="63" t="e">
        <f t="shared" si="27"/>
        <v>#N/A</v>
      </c>
      <c r="U31" s="31">
        <f t="shared" si="14"/>
        <v>0.4864</v>
      </c>
      <c r="V31" s="36">
        <f t="shared" si="15"/>
        <v>0.54</v>
      </c>
      <c r="W31" s="36">
        <f t="shared" si="16"/>
        <v>0.37</v>
      </c>
      <c r="X31" s="31">
        <f t="shared" si="17"/>
        <v>0.039325843733906234</v>
      </c>
      <c r="Y31" s="111" t="e">
        <f>HLOOKUP(A31,'Investment Details (1)'!$C$8:$Z$36,12,FALSE)</f>
        <v>#N/A</v>
      </c>
      <c r="Z31" s="18" t="e">
        <f t="shared" si="18"/>
        <v>#N/A</v>
      </c>
      <c r="AA31" s="18" t="e">
        <f t="shared" si="19"/>
        <v>#N/A</v>
      </c>
      <c r="AB31" s="18" t="e">
        <f t="shared" si="20"/>
        <v>#N/A</v>
      </c>
      <c r="AC31" s="18" t="e">
        <f t="shared" si="21"/>
        <v>#N/A</v>
      </c>
      <c r="AD31" s="18" t="e">
        <f t="shared" si="22"/>
        <v>#N/A</v>
      </c>
      <c r="AE31" s="64" t="e">
        <f t="shared" si="23"/>
        <v>#N/A</v>
      </c>
      <c r="AF31" s="64" t="e">
        <f t="shared" si="24"/>
        <v>#N/A</v>
      </c>
      <c r="AG31" s="64" t="e">
        <f t="shared" si="25"/>
        <v>#N/A</v>
      </c>
      <c r="AH31" s="64" t="e">
        <f t="shared" si="26"/>
        <v>#N/A</v>
      </c>
      <c r="AI31" s="64">
        <v>0</v>
      </c>
      <c r="AJ31" s="69" t="e">
        <f t="shared" si="8"/>
        <v>#N/A</v>
      </c>
      <c r="AK31" s="69" t="e">
        <f t="shared" si="9"/>
        <v>#N/A</v>
      </c>
      <c r="AL31" s="69" t="e">
        <f t="shared" si="10"/>
        <v>#N/A</v>
      </c>
      <c r="AM31" s="69" t="e">
        <f t="shared" si="11"/>
        <v>#N/A</v>
      </c>
      <c r="AN31" s="70" t="e">
        <f t="shared" si="12"/>
        <v>#N/A</v>
      </c>
      <c r="AS31" s="35" t="s">
        <v>127</v>
      </c>
      <c r="AT31" s="35">
        <v>40689</v>
      </c>
      <c r="AU31" s="2">
        <v>37</v>
      </c>
      <c r="AV31" s="2">
        <v>48.64</v>
      </c>
      <c r="AW31" s="35" t="s">
        <v>127</v>
      </c>
      <c r="AX31" s="35">
        <v>40493</v>
      </c>
      <c r="AY31" s="2">
        <v>54</v>
      </c>
      <c r="AZ31" s="2">
        <v>100</v>
      </c>
    </row>
    <row r="32" spans="1:52" ht="11.25">
      <c r="A32" s="13" t="s">
        <v>30</v>
      </c>
      <c r="B32" s="37" t="str">
        <f t="shared" si="0"/>
        <v>QAN</v>
      </c>
      <c r="C32" s="112">
        <v>1.5750000476837158</v>
      </c>
      <c r="D32" s="112">
        <v>1.4008</v>
      </c>
      <c r="E32" s="112">
        <v>0.7976948781230645</v>
      </c>
      <c r="F32" s="14">
        <v>41090</v>
      </c>
      <c r="G32" s="14">
        <v>42551</v>
      </c>
      <c r="H32" s="15">
        <f t="shared" si="1"/>
        <v>306</v>
      </c>
      <c r="I32" s="15">
        <f t="shared" si="2"/>
        <v>1767</v>
      </c>
      <c r="J32" s="106" t="e">
        <f>HLOOKUP(A32,'Investment Details (1)'!$C$8:$Z$36,11,FALSE)</f>
        <v>#N/A</v>
      </c>
      <c r="K32" s="16">
        <f t="shared" si="3"/>
        <v>0.6234948304393487</v>
      </c>
      <c r="L32" s="16" t="e">
        <f t="shared" si="4"/>
        <v>#N/A</v>
      </c>
      <c r="M32" s="16" t="e">
        <f t="shared" si="5"/>
        <v>#N/A</v>
      </c>
      <c r="N32" s="17" t="e">
        <f t="shared" si="6"/>
        <v>#N/A</v>
      </c>
      <c r="O32" s="75" t="e">
        <f>HLOOKUP(A32,'Investment Details (1)'!$C$8:$Z$36,15,FALSE)</f>
        <v>#N/A</v>
      </c>
      <c r="P32" s="63" t="e">
        <f t="shared" si="13"/>
        <v>#N/A</v>
      </c>
      <c r="Q32" s="63" t="e">
        <f t="shared" si="27"/>
        <v>#N/A</v>
      </c>
      <c r="R32" s="63" t="e">
        <f t="shared" si="27"/>
        <v>#N/A</v>
      </c>
      <c r="S32" s="63" t="e">
        <f t="shared" si="27"/>
        <v>#N/A</v>
      </c>
      <c r="T32" s="63" t="e">
        <f t="shared" si="27"/>
        <v>#N/A</v>
      </c>
      <c r="U32" s="31">
        <f t="shared" si="14"/>
        <v>1</v>
      </c>
      <c r="V32" s="36">
        <f t="shared" si="15"/>
        <v>0.17</v>
      </c>
      <c r="W32" s="36">
        <f t="shared" si="16"/>
        <v>0.06</v>
      </c>
      <c r="X32" s="31">
        <f t="shared" si="17"/>
        <v>0.14603174161058027</v>
      </c>
      <c r="Y32" s="111" t="e">
        <f>HLOOKUP(A32,'Investment Details (1)'!$C$8:$Z$36,12,FALSE)</f>
        <v>#N/A</v>
      </c>
      <c r="Z32" s="18" t="e">
        <f t="shared" si="18"/>
        <v>#N/A</v>
      </c>
      <c r="AA32" s="18" t="e">
        <f t="shared" si="19"/>
        <v>#N/A</v>
      </c>
      <c r="AB32" s="18" t="e">
        <f t="shared" si="20"/>
        <v>#N/A</v>
      </c>
      <c r="AC32" s="18" t="e">
        <f t="shared" si="21"/>
        <v>#N/A</v>
      </c>
      <c r="AD32" s="18" t="e">
        <f t="shared" si="22"/>
        <v>#N/A</v>
      </c>
      <c r="AE32" s="64" t="e">
        <f t="shared" si="23"/>
        <v>#N/A</v>
      </c>
      <c r="AF32" s="64" t="e">
        <f t="shared" si="24"/>
        <v>#N/A</v>
      </c>
      <c r="AG32" s="64" t="e">
        <f t="shared" si="25"/>
        <v>#N/A</v>
      </c>
      <c r="AH32" s="64" t="e">
        <f t="shared" si="26"/>
        <v>#N/A</v>
      </c>
      <c r="AI32" s="64">
        <v>0</v>
      </c>
      <c r="AJ32" s="69" t="e">
        <f t="shared" si="8"/>
        <v>#N/A</v>
      </c>
      <c r="AK32" s="69" t="e">
        <f t="shared" si="9"/>
        <v>#N/A</v>
      </c>
      <c r="AL32" s="69" t="e">
        <f t="shared" si="10"/>
        <v>#N/A</v>
      </c>
      <c r="AM32" s="69" t="e">
        <f t="shared" si="11"/>
        <v>#N/A</v>
      </c>
      <c r="AN32" s="70" t="e">
        <f t="shared" si="12"/>
        <v>#N/A</v>
      </c>
      <c r="AS32" s="35" t="s">
        <v>95</v>
      </c>
      <c r="AT32" s="35">
        <v>39874</v>
      </c>
      <c r="AU32" s="2">
        <v>6</v>
      </c>
      <c r="AV32" s="2">
        <v>100</v>
      </c>
      <c r="AW32" s="2" t="s">
        <v>95</v>
      </c>
      <c r="AX32" s="35">
        <v>39688</v>
      </c>
      <c r="AY32" s="2">
        <v>17</v>
      </c>
      <c r="AZ32" s="2">
        <v>100</v>
      </c>
    </row>
    <row r="33" spans="1:52" ht="11.25">
      <c r="A33" s="13" t="s">
        <v>31</v>
      </c>
      <c r="B33" s="37" t="str">
        <f t="shared" si="0"/>
        <v>QBE</v>
      </c>
      <c r="C33" s="112">
        <v>13.800000190734863</v>
      </c>
      <c r="D33" s="112">
        <v>9.4439</v>
      </c>
      <c r="E33" s="112">
        <v>6.988059915441615</v>
      </c>
      <c r="F33" s="14">
        <v>41090</v>
      </c>
      <c r="G33" s="14">
        <v>42551</v>
      </c>
      <c r="H33" s="15">
        <f t="shared" si="1"/>
        <v>306</v>
      </c>
      <c r="I33" s="15">
        <f t="shared" si="2"/>
        <v>1767</v>
      </c>
      <c r="J33" s="106" t="e">
        <f>HLOOKUP(A33,'Investment Details (1)'!$C$8:$Z$36,11,FALSE)</f>
        <v>#N/A</v>
      </c>
      <c r="K33" s="16">
        <f t="shared" si="3"/>
        <v>2.6319597247067508</v>
      </c>
      <c r="L33" s="16" t="e">
        <f t="shared" si="4"/>
        <v>#N/A</v>
      </c>
      <c r="M33" s="16" t="e">
        <f t="shared" si="5"/>
        <v>#N/A</v>
      </c>
      <c r="N33" s="17" t="e">
        <f t="shared" si="6"/>
        <v>#N/A</v>
      </c>
      <c r="O33" s="75" t="e">
        <f>HLOOKUP(A33,'Investment Details (1)'!$C$8:$Z$36,15,FALSE)</f>
        <v>#N/A</v>
      </c>
      <c r="P33" s="63" t="e">
        <f t="shared" si="13"/>
        <v>#N/A</v>
      </c>
      <c r="Q33" s="63" t="e">
        <f t="shared" si="27"/>
        <v>#N/A</v>
      </c>
      <c r="R33" s="63" t="e">
        <f t="shared" si="27"/>
        <v>#N/A</v>
      </c>
      <c r="S33" s="63" t="e">
        <f t="shared" si="27"/>
        <v>#N/A</v>
      </c>
      <c r="T33" s="63" t="e">
        <f t="shared" si="27"/>
        <v>#N/A</v>
      </c>
      <c r="U33" s="31">
        <f t="shared" si="14"/>
        <v>0.1</v>
      </c>
      <c r="V33" s="36">
        <f t="shared" si="15"/>
        <v>0.62</v>
      </c>
      <c r="W33" s="36">
        <f t="shared" si="16"/>
        <v>0.66</v>
      </c>
      <c r="X33" s="31">
        <f t="shared" si="17"/>
        <v>0.09275362190642396</v>
      </c>
      <c r="Y33" s="111" t="e">
        <f>HLOOKUP(A33,'Investment Details (1)'!$C$8:$Z$36,12,FALSE)</f>
        <v>#N/A</v>
      </c>
      <c r="Z33" s="18" t="e">
        <f t="shared" si="18"/>
        <v>#N/A</v>
      </c>
      <c r="AA33" s="18" t="e">
        <f t="shared" si="19"/>
        <v>#N/A</v>
      </c>
      <c r="AB33" s="18" t="e">
        <f t="shared" si="20"/>
        <v>#N/A</v>
      </c>
      <c r="AC33" s="18" t="e">
        <f t="shared" si="21"/>
        <v>#N/A</v>
      </c>
      <c r="AD33" s="18" t="e">
        <f t="shared" si="22"/>
        <v>#N/A</v>
      </c>
      <c r="AE33" s="64" t="e">
        <f t="shared" si="23"/>
        <v>#N/A</v>
      </c>
      <c r="AF33" s="64" t="e">
        <f t="shared" si="24"/>
        <v>#N/A</v>
      </c>
      <c r="AG33" s="64" t="e">
        <f t="shared" si="25"/>
        <v>#N/A</v>
      </c>
      <c r="AH33" s="64" t="e">
        <f t="shared" si="26"/>
        <v>#N/A</v>
      </c>
      <c r="AI33" s="64">
        <v>0</v>
      </c>
      <c r="AJ33" s="69" t="e">
        <f t="shared" si="8"/>
        <v>#N/A</v>
      </c>
      <c r="AK33" s="69" t="e">
        <f t="shared" si="9"/>
        <v>#N/A</v>
      </c>
      <c r="AL33" s="69" t="e">
        <f t="shared" si="10"/>
        <v>#N/A</v>
      </c>
      <c r="AM33" s="69" t="e">
        <f t="shared" si="11"/>
        <v>#N/A</v>
      </c>
      <c r="AN33" s="70" t="e">
        <f t="shared" si="12"/>
        <v>#N/A</v>
      </c>
      <c r="AS33" s="35" t="s">
        <v>96</v>
      </c>
      <c r="AT33" s="35">
        <v>40606</v>
      </c>
      <c r="AU33" s="2">
        <v>66</v>
      </c>
      <c r="AV33" s="2">
        <v>10</v>
      </c>
      <c r="AW33" s="35" t="s">
        <v>96</v>
      </c>
      <c r="AX33" s="35">
        <v>40414</v>
      </c>
      <c r="AY33" s="2">
        <v>62</v>
      </c>
      <c r="AZ33" s="2">
        <v>15</v>
      </c>
    </row>
    <row r="34" spans="1:52" ht="11.25">
      <c r="A34" s="13" t="s">
        <v>32</v>
      </c>
      <c r="B34" s="37" t="str">
        <f t="shared" si="0"/>
        <v>RIO</v>
      </c>
      <c r="C34" s="112">
        <v>69.1500015258789</v>
      </c>
      <c r="D34" s="112">
        <v>45.167</v>
      </c>
      <c r="E34" s="112">
        <v>39.66171438651992</v>
      </c>
      <c r="F34" s="14">
        <v>41090</v>
      </c>
      <c r="G34" s="14">
        <v>42551</v>
      </c>
      <c r="H34" s="15">
        <f t="shared" si="1"/>
        <v>306</v>
      </c>
      <c r="I34" s="15">
        <f t="shared" si="2"/>
        <v>1767</v>
      </c>
      <c r="J34" s="106" t="e">
        <f>HLOOKUP(A34,'Investment Details (1)'!$C$8:$Z$36,11,FALSE)</f>
        <v>#N/A</v>
      </c>
      <c r="K34" s="16">
        <f t="shared" si="3"/>
        <v>15.678712860641014</v>
      </c>
      <c r="L34" s="16" t="e">
        <f t="shared" si="4"/>
        <v>#N/A</v>
      </c>
      <c r="M34" s="16" t="e">
        <f t="shared" si="5"/>
        <v>#N/A</v>
      </c>
      <c r="N34" s="17" t="e">
        <f t="shared" si="6"/>
        <v>#N/A</v>
      </c>
      <c r="O34" s="75" t="e">
        <f>HLOOKUP(A34,'Investment Details (1)'!$C$8:$Z$36,15,FALSE)</f>
        <v>#N/A</v>
      </c>
      <c r="P34" s="63" t="e">
        <f t="shared" si="13"/>
        <v>#N/A</v>
      </c>
      <c r="Q34" s="63" t="e">
        <f t="shared" si="27"/>
        <v>#N/A</v>
      </c>
      <c r="R34" s="63" t="e">
        <f t="shared" si="27"/>
        <v>#N/A</v>
      </c>
      <c r="S34" s="63" t="e">
        <f t="shared" si="27"/>
        <v>#N/A</v>
      </c>
      <c r="T34" s="63" t="e">
        <f t="shared" si="27"/>
        <v>#N/A</v>
      </c>
      <c r="U34" s="31">
        <f t="shared" si="14"/>
        <v>1</v>
      </c>
      <c r="V34" s="36">
        <f t="shared" si="15"/>
        <v>0.4927</v>
      </c>
      <c r="W34" s="36">
        <f t="shared" si="16"/>
        <v>0.6194</v>
      </c>
      <c r="X34" s="31">
        <f t="shared" si="17"/>
        <v>0.016082429146206226</v>
      </c>
      <c r="Y34" s="111" t="e">
        <f>HLOOKUP(A34,'Investment Details (1)'!$C$8:$Z$36,12,FALSE)</f>
        <v>#N/A</v>
      </c>
      <c r="Z34" s="18" t="e">
        <f t="shared" si="18"/>
        <v>#N/A</v>
      </c>
      <c r="AA34" s="18" t="e">
        <f t="shared" si="19"/>
        <v>#N/A</v>
      </c>
      <c r="AB34" s="18" t="e">
        <f t="shared" si="20"/>
        <v>#N/A</v>
      </c>
      <c r="AC34" s="18" t="e">
        <f t="shared" si="21"/>
        <v>#N/A</v>
      </c>
      <c r="AD34" s="18" t="e">
        <f t="shared" si="22"/>
        <v>#N/A</v>
      </c>
      <c r="AE34" s="64" t="e">
        <f t="shared" si="23"/>
        <v>#N/A</v>
      </c>
      <c r="AF34" s="64" t="e">
        <f t="shared" si="24"/>
        <v>#N/A</v>
      </c>
      <c r="AG34" s="64" t="e">
        <f t="shared" si="25"/>
        <v>#N/A</v>
      </c>
      <c r="AH34" s="64" t="e">
        <f t="shared" si="26"/>
        <v>#N/A</v>
      </c>
      <c r="AI34" s="64">
        <v>0</v>
      </c>
      <c r="AJ34" s="69" t="e">
        <f t="shared" si="8"/>
        <v>#N/A</v>
      </c>
      <c r="AK34" s="69" t="e">
        <f t="shared" si="9"/>
        <v>#N/A</v>
      </c>
      <c r="AL34" s="69" t="e">
        <f t="shared" si="10"/>
        <v>#N/A</v>
      </c>
      <c r="AM34" s="69" t="e">
        <f t="shared" si="11"/>
        <v>#N/A</v>
      </c>
      <c r="AN34" s="70" t="e">
        <f t="shared" si="12"/>
        <v>#N/A</v>
      </c>
      <c r="AS34" s="35" t="s">
        <v>97</v>
      </c>
      <c r="AT34" s="35">
        <v>40604</v>
      </c>
      <c r="AU34" s="2">
        <v>61.94</v>
      </c>
      <c r="AV34" s="2">
        <v>100</v>
      </c>
      <c r="AW34" s="35" t="s">
        <v>97</v>
      </c>
      <c r="AX34" s="35">
        <v>40401</v>
      </c>
      <c r="AY34" s="2">
        <v>49.27</v>
      </c>
      <c r="AZ34" s="2">
        <v>100</v>
      </c>
    </row>
    <row r="35" spans="1:52" ht="11.25">
      <c r="A35" s="13" t="s">
        <v>33</v>
      </c>
      <c r="B35" s="37" t="str">
        <f t="shared" si="0"/>
        <v>SHL</v>
      </c>
      <c r="C35" s="112">
        <v>11.4399995803833</v>
      </c>
      <c r="D35" s="112">
        <v>6.7452</v>
      </c>
      <c r="E35" s="112">
        <v>6.554021817091152</v>
      </c>
      <c r="F35" s="14">
        <v>41090</v>
      </c>
      <c r="G35" s="14">
        <v>42551</v>
      </c>
      <c r="H35" s="15">
        <f t="shared" si="1"/>
        <v>306</v>
      </c>
      <c r="I35" s="15">
        <f t="shared" si="2"/>
        <v>1767</v>
      </c>
      <c r="J35" s="106" t="e">
        <f>HLOOKUP(A35,'Investment Details (1)'!$C$8:$Z$36,11,FALSE)</f>
        <v>#N/A</v>
      </c>
      <c r="K35" s="16">
        <f t="shared" si="3"/>
        <v>1.8592222367078506</v>
      </c>
      <c r="L35" s="16" t="e">
        <f t="shared" si="4"/>
        <v>#N/A</v>
      </c>
      <c r="M35" s="16" t="e">
        <f t="shared" si="5"/>
        <v>#N/A</v>
      </c>
      <c r="N35" s="17" t="e">
        <f t="shared" si="6"/>
        <v>#N/A</v>
      </c>
      <c r="O35" s="75" t="e">
        <f>HLOOKUP(A35,'Investment Details (1)'!$C$8:$Z$36,15,FALSE)</f>
        <v>#N/A</v>
      </c>
      <c r="P35" s="63" t="e">
        <f t="shared" si="13"/>
        <v>#N/A</v>
      </c>
      <c r="Q35" s="63" t="e">
        <f t="shared" si="27"/>
        <v>#N/A</v>
      </c>
      <c r="R35" s="63" t="e">
        <f t="shared" si="27"/>
        <v>#N/A</v>
      </c>
      <c r="S35" s="63" t="e">
        <f t="shared" si="27"/>
        <v>#N/A</v>
      </c>
      <c r="T35" s="63" t="e">
        <f t="shared" si="27"/>
        <v>#N/A</v>
      </c>
      <c r="U35" s="31">
        <f t="shared" si="14"/>
        <v>0.2792</v>
      </c>
      <c r="V35" s="36">
        <f t="shared" si="15"/>
        <v>0.35</v>
      </c>
      <c r="W35" s="36">
        <f t="shared" si="16"/>
        <v>0.24</v>
      </c>
      <c r="X35" s="31">
        <f t="shared" si="17"/>
        <v>0.051573428465128655</v>
      </c>
      <c r="Y35" s="111" t="e">
        <f>HLOOKUP(A35,'Investment Details (1)'!$C$8:$Z$36,12,FALSE)</f>
        <v>#N/A</v>
      </c>
      <c r="Z35" s="18" t="e">
        <f t="shared" si="18"/>
        <v>#N/A</v>
      </c>
      <c r="AA35" s="18" t="e">
        <f t="shared" si="19"/>
        <v>#N/A</v>
      </c>
      <c r="AB35" s="18" t="e">
        <f t="shared" si="20"/>
        <v>#N/A</v>
      </c>
      <c r="AC35" s="18" t="e">
        <f t="shared" si="21"/>
        <v>#N/A</v>
      </c>
      <c r="AD35" s="18" t="e">
        <f t="shared" si="22"/>
        <v>#N/A</v>
      </c>
      <c r="AE35" s="64" t="e">
        <f t="shared" si="23"/>
        <v>#N/A</v>
      </c>
      <c r="AF35" s="64" t="e">
        <f t="shared" si="24"/>
        <v>#N/A</v>
      </c>
      <c r="AG35" s="64" t="e">
        <f t="shared" si="25"/>
        <v>#N/A</v>
      </c>
      <c r="AH35" s="64" t="e">
        <f t="shared" si="26"/>
        <v>#N/A</v>
      </c>
      <c r="AI35" s="64">
        <v>0</v>
      </c>
      <c r="AJ35" s="69" t="e">
        <f t="shared" si="8"/>
        <v>#N/A</v>
      </c>
      <c r="AK35" s="69" t="e">
        <f t="shared" si="9"/>
        <v>#N/A</v>
      </c>
      <c r="AL35" s="69" t="e">
        <f t="shared" si="10"/>
        <v>#N/A</v>
      </c>
      <c r="AM35" s="69" t="e">
        <f t="shared" si="11"/>
        <v>#N/A</v>
      </c>
      <c r="AN35" s="70" t="e">
        <f t="shared" si="12"/>
        <v>#N/A</v>
      </c>
      <c r="AS35" s="35" t="s">
        <v>98</v>
      </c>
      <c r="AT35" s="35">
        <v>40606</v>
      </c>
      <c r="AU35" s="2">
        <v>24</v>
      </c>
      <c r="AV35" s="2">
        <v>27.92</v>
      </c>
      <c r="AW35" s="35" t="s">
        <v>98</v>
      </c>
      <c r="AX35" s="35">
        <v>40429</v>
      </c>
      <c r="AY35" s="2">
        <v>35</v>
      </c>
      <c r="AZ35" s="2">
        <v>35</v>
      </c>
    </row>
    <row r="36" spans="1:52" ht="11.25">
      <c r="A36" s="13" t="s">
        <v>34</v>
      </c>
      <c r="B36" s="37" t="str">
        <f t="shared" si="0"/>
        <v>STO</v>
      </c>
      <c r="C36" s="112">
        <v>11.5600004196167</v>
      </c>
      <c r="D36" s="112">
        <v>7.2309</v>
      </c>
      <c r="E36" s="112">
        <v>6.5819428458369975</v>
      </c>
      <c r="F36" s="14">
        <v>41090</v>
      </c>
      <c r="G36" s="14">
        <v>42551</v>
      </c>
      <c r="H36" s="15">
        <f t="shared" si="1"/>
        <v>306</v>
      </c>
      <c r="I36" s="15">
        <f t="shared" si="2"/>
        <v>1767</v>
      </c>
      <c r="J36" s="106" t="e">
        <f>HLOOKUP(A36,'Investment Details (1)'!$C$8:$Z$36,11,FALSE)</f>
        <v>#N/A</v>
      </c>
      <c r="K36" s="16">
        <f t="shared" si="3"/>
        <v>2.2528424262202984</v>
      </c>
      <c r="L36" s="16" t="e">
        <f t="shared" si="4"/>
        <v>#N/A</v>
      </c>
      <c r="M36" s="16" t="e">
        <f t="shared" si="5"/>
        <v>#N/A</v>
      </c>
      <c r="N36" s="17" t="e">
        <f t="shared" si="6"/>
        <v>#N/A</v>
      </c>
      <c r="O36" s="75" t="e">
        <f>HLOOKUP(A36,'Investment Details (1)'!$C$8:$Z$36,15,FALSE)</f>
        <v>#N/A</v>
      </c>
      <c r="P36" s="63" t="e">
        <f t="shared" si="13"/>
        <v>#N/A</v>
      </c>
      <c r="Q36" s="63" t="e">
        <f t="shared" si="27"/>
        <v>#N/A</v>
      </c>
      <c r="R36" s="63" t="e">
        <f t="shared" si="27"/>
        <v>#N/A</v>
      </c>
      <c r="S36" s="63" t="e">
        <f t="shared" si="27"/>
        <v>#N/A</v>
      </c>
      <c r="T36" s="63" t="e">
        <f t="shared" si="27"/>
        <v>#N/A</v>
      </c>
      <c r="U36" s="31">
        <f t="shared" si="14"/>
        <v>1</v>
      </c>
      <c r="V36" s="36">
        <f t="shared" si="15"/>
        <v>0.22</v>
      </c>
      <c r="W36" s="36">
        <f t="shared" si="16"/>
        <v>0.15</v>
      </c>
      <c r="X36" s="31">
        <f t="shared" si="17"/>
        <v>0.032006919253405035</v>
      </c>
      <c r="Y36" s="111" t="e">
        <f>HLOOKUP(A36,'Investment Details (1)'!$C$8:$Z$36,12,FALSE)</f>
        <v>#N/A</v>
      </c>
      <c r="Z36" s="18" t="e">
        <f t="shared" si="18"/>
        <v>#N/A</v>
      </c>
      <c r="AA36" s="18" t="e">
        <f t="shared" si="19"/>
        <v>#N/A</v>
      </c>
      <c r="AB36" s="18" t="e">
        <f t="shared" si="20"/>
        <v>#N/A</v>
      </c>
      <c r="AC36" s="18" t="e">
        <f t="shared" si="21"/>
        <v>#N/A</v>
      </c>
      <c r="AD36" s="18" t="e">
        <f t="shared" si="22"/>
        <v>#N/A</v>
      </c>
      <c r="AE36" s="64" t="e">
        <f t="shared" si="23"/>
        <v>#N/A</v>
      </c>
      <c r="AF36" s="64" t="e">
        <f t="shared" si="24"/>
        <v>#N/A</v>
      </c>
      <c r="AG36" s="64" t="e">
        <f t="shared" si="25"/>
        <v>#N/A</v>
      </c>
      <c r="AH36" s="64" t="e">
        <f t="shared" si="26"/>
        <v>#N/A</v>
      </c>
      <c r="AI36" s="64">
        <v>0</v>
      </c>
      <c r="AJ36" s="69" t="e">
        <f t="shared" si="8"/>
        <v>#N/A</v>
      </c>
      <c r="AK36" s="69" t="e">
        <f t="shared" si="9"/>
        <v>#N/A</v>
      </c>
      <c r="AL36" s="69" t="e">
        <f t="shared" si="10"/>
        <v>#N/A</v>
      </c>
      <c r="AM36" s="69" t="e">
        <f t="shared" si="11"/>
        <v>#N/A</v>
      </c>
      <c r="AN36" s="70" t="e">
        <f t="shared" si="12"/>
        <v>#N/A</v>
      </c>
      <c r="AS36" s="35" t="s">
        <v>99</v>
      </c>
      <c r="AT36" s="35">
        <v>40597</v>
      </c>
      <c r="AU36" s="2">
        <v>15</v>
      </c>
      <c r="AV36" s="2">
        <v>100</v>
      </c>
      <c r="AW36" s="35" t="s">
        <v>99</v>
      </c>
      <c r="AX36" s="35">
        <v>40422</v>
      </c>
      <c r="AY36" s="2">
        <v>22</v>
      </c>
      <c r="AZ36" s="2">
        <v>100</v>
      </c>
    </row>
    <row r="37" spans="1:40" ht="11.25">
      <c r="A37" s="13" t="s">
        <v>35</v>
      </c>
      <c r="B37" s="37" t="str">
        <f t="shared" si="0"/>
        <v>STW</v>
      </c>
      <c r="C37" s="112">
        <v>39.61000061035156</v>
      </c>
      <c r="D37" s="112">
        <v>25.8854</v>
      </c>
      <c r="E37" s="112">
        <v>20.06769907298302</v>
      </c>
      <c r="F37" s="14">
        <v>41090</v>
      </c>
      <c r="G37" s="14">
        <v>42551</v>
      </c>
      <c r="H37" s="15">
        <f t="shared" si="1"/>
        <v>306</v>
      </c>
      <c r="I37" s="15">
        <f t="shared" si="2"/>
        <v>1767</v>
      </c>
      <c r="J37" s="106" t="e">
        <f>HLOOKUP(A37,'Investment Details (1)'!$C$8:$Z$36,11,FALSE)</f>
        <v>#N/A</v>
      </c>
      <c r="K37" s="16">
        <f t="shared" si="3"/>
        <v>6.34309846263146</v>
      </c>
      <c r="L37" s="16" t="e">
        <f t="shared" si="4"/>
        <v>#N/A</v>
      </c>
      <c r="M37" s="16" t="e">
        <f t="shared" si="5"/>
        <v>#N/A</v>
      </c>
      <c r="N37" s="17" t="e">
        <f t="shared" si="6"/>
        <v>#N/A</v>
      </c>
      <c r="O37" s="75" t="e">
        <f>HLOOKUP(A37,'Investment Details (1)'!$C$8:$Z$36,15,FALSE)</f>
        <v>#N/A</v>
      </c>
      <c r="P37" s="63" t="e">
        <f t="shared" si="13"/>
        <v>#N/A</v>
      </c>
      <c r="Q37" s="63" t="e">
        <f t="shared" si="27"/>
        <v>#N/A</v>
      </c>
      <c r="R37" s="63" t="e">
        <f t="shared" si="27"/>
        <v>#N/A</v>
      </c>
      <c r="S37" s="63" t="e">
        <f t="shared" si="27"/>
        <v>#N/A</v>
      </c>
      <c r="T37" s="63" t="e">
        <f t="shared" si="27"/>
        <v>#N/A</v>
      </c>
      <c r="U37" s="31">
        <f t="shared" si="14"/>
        <v>0</v>
      </c>
      <c r="V37" s="36">
        <f t="shared" si="15"/>
        <v>0</v>
      </c>
      <c r="W37" s="36">
        <f t="shared" si="16"/>
        <v>0</v>
      </c>
      <c r="X37" s="31">
        <f t="shared" si="17"/>
        <v>0</v>
      </c>
      <c r="Y37" s="111" t="e">
        <f>HLOOKUP(A37,'Investment Details (1)'!$C$8:$Z$36,12,FALSE)</f>
        <v>#N/A</v>
      </c>
      <c r="Z37" s="18" t="e">
        <f t="shared" si="18"/>
        <v>#N/A</v>
      </c>
      <c r="AA37" s="18" t="e">
        <f t="shared" si="19"/>
        <v>#N/A</v>
      </c>
      <c r="AB37" s="18" t="e">
        <f t="shared" si="20"/>
        <v>#N/A</v>
      </c>
      <c r="AC37" s="18" t="e">
        <f t="shared" si="21"/>
        <v>#N/A</v>
      </c>
      <c r="AD37" s="18" t="e">
        <f t="shared" si="22"/>
        <v>#N/A</v>
      </c>
      <c r="AE37" s="64" t="e">
        <f t="shared" si="23"/>
        <v>#N/A</v>
      </c>
      <c r="AF37" s="64" t="e">
        <f t="shared" si="24"/>
        <v>#N/A</v>
      </c>
      <c r="AG37" s="64" t="e">
        <f t="shared" si="25"/>
        <v>#N/A</v>
      </c>
      <c r="AH37" s="64" t="e">
        <f t="shared" si="26"/>
        <v>#N/A</v>
      </c>
      <c r="AI37" s="64">
        <v>0</v>
      </c>
      <c r="AJ37" s="69" t="e">
        <f t="shared" si="8"/>
        <v>#N/A</v>
      </c>
      <c r="AK37" s="69" t="e">
        <f t="shared" si="9"/>
        <v>#N/A</v>
      </c>
      <c r="AL37" s="69" t="e">
        <f t="shared" si="10"/>
        <v>#N/A</v>
      </c>
      <c r="AM37" s="69" t="e">
        <f t="shared" si="11"/>
        <v>#N/A</v>
      </c>
      <c r="AN37" s="70" t="e">
        <f t="shared" si="12"/>
        <v>#N/A</v>
      </c>
    </row>
    <row r="38" spans="1:52" ht="11.25">
      <c r="A38" s="13" t="s">
        <v>36</v>
      </c>
      <c r="B38" s="37" t="str">
        <f t="shared" si="0"/>
        <v>SUN</v>
      </c>
      <c r="C38" s="112">
        <v>7.849999904632568</v>
      </c>
      <c r="D38" s="112">
        <v>4.4871</v>
      </c>
      <c r="E38" s="112">
        <v>4.656767570772173</v>
      </c>
      <c r="F38" s="14">
        <v>41090</v>
      </c>
      <c r="G38" s="14">
        <v>42551</v>
      </c>
      <c r="H38" s="15">
        <f t="shared" si="1"/>
        <v>306</v>
      </c>
      <c r="I38" s="15">
        <f t="shared" si="2"/>
        <v>1767</v>
      </c>
      <c r="J38" s="106" t="e">
        <f>HLOOKUP(A38,'Investment Details (1)'!$C$8:$Z$36,11,FALSE)</f>
        <v>#N/A</v>
      </c>
      <c r="K38" s="16">
        <f t="shared" si="3"/>
        <v>1.2938676661396045</v>
      </c>
      <c r="L38" s="16" t="e">
        <f t="shared" si="4"/>
        <v>#N/A</v>
      </c>
      <c r="M38" s="16" t="e">
        <f t="shared" si="5"/>
        <v>#N/A</v>
      </c>
      <c r="N38" s="17" t="e">
        <f t="shared" si="6"/>
        <v>#N/A</v>
      </c>
      <c r="O38" s="75" t="e">
        <f>HLOOKUP(A38,'Investment Details (1)'!$C$8:$Z$36,15,FALSE)</f>
        <v>#N/A</v>
      </c>
      <c r="P38" s="63" t="e">
        <f t="shared" si="13"/>
        <v>#N/A</v>
      </c>
      <c r="Q38" s="63" t="e">
        <f t="shared" si="27"/>
        <v>#N/A</v>
      </c>
      <c r="R38" s="63" t="e">
        <f t="shared" si="27"/>
        <v>#N/A</v>
      </c>
      <c r="S38" s="63" t="e">
        <f t="shared" si="27"/>
        <v>#N/A</v>
      </c>
      <c r="T38" s="63" t="e">
        <f t="shared" si="27"/>
        <v>#N/A</v>
      </c>
      <c r="U38" s="31">
        <f t="shared" si="14"/>
        <v>1</v>
      </c>
      <c r="V38" s="36">
        <f t="shared" si="15"/>
        <v>0.2</v>
      </c>
      <c r="W38" s="36">
        <f t="shared" si="16"/>
        <v>0.15</v>
      </c>
      <c r="X38" s="31">
        <f t="shared" si="17"/>
        <v>0.04458598780280906</v>
      </c>
      <c r="Y38" s="111" t="e">
        <f>HLOOKUP(A38,'Investment Details (1)'!$C$8:$Z$36,12,FALSE)</f>
        <v>#N/A</v>
      </c>
      <c r="Z38" s="18" t="e">
        <f t="shared" si="18"/>
        <v>#N/A</v>
      </c>
      <c r="AA38" s="18" t="e">
        <f t="shared" si="19"/>
        <v>#N/A</v>
      </c>
      <c r="AB38" s="18" t="e">
        <f t="shared" si="20"/>
        <v>#N/A</v>
      </c>
      <c r="AC38" s="18" t="e">
        <f t="shared" si="21"/>
        <v>#N/A</v>
      </c>
      <c r="AD38" s="18" t="e">
        <f t="shared" si="22"/>
        <v>#N/A</v>
      </c>
      <c r="AE38" s="64" t="e">
        <f t="shared" si="23"/>
        <v>#N/A</v>
      </c>
      <c r="AF38" s="64" t="e">
        <f t="shared" si="24"/>
        <v>#N/A</v>
      </c>
      <c r="AG38" s="64" t="e">
        <f t="shared" si="25"/>
        <v>#N/A</v>
      </c>
      <c r="AH38" s="64" t="e">
        <f t="shared" si="26"/>
        <v>#N/A</v>
      </c>
      <c r="AI38" s="64">
        <v>0</v>
      </c>
      <c r="AJ38" s="69" t="e">
        <f t="shared" si="8"/>
        <v>#N/A</v>
      </c>
      <c r="AK38" s="69" t="e">
        <f t="shared" si="9"/>
        <v>#N/A</v>
      </c>
      <c r="AL38" s="69" t="e">
        <f t="shared" si="10"/>
        <v>#N/A</v>
      </c>
      <c r="AM38" s="69" t="e">
        <f t="shared" si="11"/>
        <v>#N/A</v>
      </c>
      <c r="AN38" s="70" t="e">
        <f t="shared" si="12"/>
        <v>#N/A</v>
      </c>
      <c r="AS38" s="35" t="s">
        <v>100</v>
      </c>
      <c r="AT38" s="35">
        <v>40602</v>
      </c>
      <c r="AU38" s="2">
        <v>15</v>
      </c>
      <c r="AV38" s="2">
        <v>100</v>
      </c>
      <c r="AW38" s="35" t="s">
        <v>100</v>
      </c>
      <c r="AX38" s="35">
        <v>40420</v>
      </c>
      <c r="AY38" s="2">
        <v>20</v>
      </c>
      <c r="AZ38" s="2">
        <v>100</v>
      </c>
    </row>
    <row r="39" spans="1:52" ht="11.25">
      <c r="A39" s="13" t="s">
        <v>37</v>
      </c>
      <c r="B39" s="37" t="str">
        <f t="shared" si="0"/>
        <v>TCL</v>
      </c>
      <c r="C39" s="112">
        <v>5.150000095367432</v>
      </c>
      <c r="D39" s="112">
        <v>2.8662</v>
      </c>
      <c r="E39" s="112">
        <v>3.0336661131551677</v>
      </c>
      <c r="F39" s="14">
        <v>41090</v>
      </c>
      <c r="G39" s="14">
        <v>42551</v>
      </c>
      <c r="H39" s="15">
        <f t="shared" si="1"/>
        <v>306</v>
      </c>
      <c r="I39" s="15">
        <f t="shared" si="2"/>
        <v>1767</v>
      </c>
      <c r="J39" s="106" t="e">
        <f>HLOOKUP(A39,'Investment Details (1)'!$C$8:$Z$36,11,FALSE)</f>
        <v>#N/A</v>
      </c>
      <c r="K39" s="16">
        <f t="shared" si="3"/>
        <v>0.7498660177877361</v>
      </c>
      <c r="L39" s="16" t="e">
        <f t="shared" si="4"/>
        <v>#N/A</v>
      </c>
      <c r="M39" s="16" t="e">
        <f t="shared" si="5"/>
        <v>#N/A</v>
      </c>
      <c r="N39" s="17" t="e">
        <f t="shared" si="6"/>
        <v>#N/A</v>
      </c>
      <c r="O39" s="75" t="e">
        <f>HLOOKUP(A39,'Investment Details (1)'!$C$8:$Z$36,15,FALSE)</f>
        <v>#N/A</v>
      </c>
      <c r="P39" s="63" t="e">
        <f t="shared" si="13"/>
        <v>#N/A</v>
      </c>
      <c r="Q39" s="63" t="e">
        <f t="shared" si="27"/>
        <v>#N/A</v>
      </c>
      <c r="R39" s="63" t="e">
        <f t="shared" si="27"/>
        <v>#N/A</v>
      </c>
      <c r="S39" s="63" t="e">
        <f t="shared" si="27"/>
        <v>#N/A</v>
      </c>
      <c r="T39" s="63" t="e">
        <f t="shared" si="27"/>
        <v>#N/A</v>
      </c>
      <c r="U39" s="31">
        <f t="shared" si="14"/>
        <v>0</v>
      </c>
      <c r="V39" s="36">
        <f t="shared" si="15"/>
        <v>0.13</v>
      </c>
      <c r="W39" s="36">
        <f t="shared" si="16"/>
        <v>0.14</v>
      </c>
      <c r="X39" s="31">
        <f t="shared" si="17"/>
        <v>0.05242718349517557</v>
      </c>
      <c r="Y39" s="111" t="e">
        <f>HLOOKUP(A39,'Investment Details (1)'!$C$8:$Z$36,12,FALSE)</f>
        <v>#N/A</v>
      </c>
      <c r="Z39" s="18" t="e">
        <f t="shared" si="18"/>
        <v>#N/A</v>
      </c>
      <c r="AA39" s="18" t="e">
        <f t="shared" si="19"/>
        <v>#N/A</v>
      </c>
      <c r="AB39" s="18" t="e">
        <f t="shared" si="20"/>
        <v>#N/A</v>
      </c>
      <c r="AC39" s="18" t="e">
        <f t="shared" si="21"/>
        <v>#N/A</v>
      </c>
      <c r="AD39" s="18" t="e">
        <f t="shared" si="22"/>
        <v>#N/A</v>
      </c>
      <c r="AE39" s="64" t="e">
        <f t="shared" si="23"/>
        <v>#N/A</v>
      </c>
      <c r="AF39" s="64" t="e">
        <f t="shared" si="24"/>
        <v>#N/A</v>
      </c>
      <c r="AG39" s="64" t="e">
        <f t="shared" si="25"/>
        <v>#N/A</v>
      </c>
      <c r="AH39" s="64" t="e">
        <f t="shared" si="26"/>
        <v>#N/A</v>
      </c>
      <c r="AI39" s="64">
        <v>0</v>
      </c>
      <c r="AJ39" s="69" t="e">
        <f t="shared" si="8"/>
        <v>#N/A</v>
      </c>
      <c r="AK39" s="69" t="e">
        <f t="shared" si="9"/>
        <v>#N/A</v>
      </c>
      <c r="AL39" s="69" t="e">
        <f t="shared" si="10"/>
        <v>#N/A</v>
      </c>
      <c r="AM39" s="69" t="e">
        <f t="shared" si="11"/>
        <v>#N/A</v>
      </c>
      <c r="AN39" s="70" t="e">
        <f t="shared" si="12"/>
        <v>#N/A</v>
      </c>
      <c r="AS39" s="35" t="s">
        <v>101</v>
      </c>
      <c r="AT39" s="35">
        <v>40718</v>
      </c>
      <c r="AU39" s="2">
        <v>14</v>
      </c>
      <c r="AV39" s="2">
        <v>0</v>
      </c>
      <c r="AW39" s="35" t="s">
        <v>101</v>
      </c>
      <c r="AX39" s="35">
        <v>40535</v>
      </c>
      <c r="AY39" s="2">
        <v>13</v>
      </c>
      <c r="AZ39" s="2">
        <v>0</v>
      </c>
    </row>
    <row r="40" spans="1:52" ht="11.25">
      <c r="A40" s="13" t="s">
        <v>38</v>
      </c>
      <c r="B40" s="37" t="str">
        <f t="shared" si="0"/>
        <v>TLS</v>
      </c>
      <c r="C40" s="112">
        <v>3.059999942779541</v>
      </c>
      <c r="D40" s="112">
        <v>1.3254</v>
      </c>
      <c r="E40" s="112">
        <v>1.9568029634247819</v>
      </c>
      <c r="F40" s="14">
        <v>41090</v>
      </c>
      <c r="G40" s="14">
        <v>42551</v>
      </c>
      <c r="H40" s="15">
        <f t="shared" si="1"/>
        <v>306</v>
      </c>
      <c r="I40" s="15">
        <f t="shared" si="2"/>
        <v>1767</v>
      </c>
      <c r="J40" s="106" t="e">
        <f>HLOOKUP(A40,'Investment Details (1)'!$C$8:$Z$36,11,FALSE)</f>
        <v>#N/A</v>
      </c>
      <c r="K40" s="16">
        <f t="shared" si="3"/>
        <v>0.22220302064524078</v>
      </c>
      <c r="L40" s="16" t="e">
        <f t="shared" si="4"/>
        <v>#N/A</v>
      </c>
      <c r="M40" s="16" t="e">
        <f t="shared" si="5"/>
        <v>#N/A</v>
      </c>
      <c r="N40" s="17" t="e">
        <f t="shared" si="6"/>
        <v>#N/A</v>
      </c>
      <c r="O40" s="75" t="e">
        <f>HLOOKUP(A40,'Investment Details (1)'!$C$8:$Z$36,15,FALSE)</f>
        <v>#N/A</v>
      </c>
      <c r="P40" s="63" t="e">
        <f t="shared" si="13"/>
        <v>#N/A</v>
      </c>
      <c r="Q40" s="63" t="e">
        <f t="shared" si="27"/>
        <v>#N/A</v>
      </c>
      <c r="R40" s="63" t="e">
        <f t="shared" si="27"/>
        <v>#N/A</v>
      </c>
      <c r="S40" s="63" t="e">
        <f t="shared" si="27"/>
        <v>#N/A</v>
      </c>
      <c r="T40" s="63" t="e">
        <f t="shared" si="27"/>
        <v>#N/A</v>
      </c>
      <c r="U40" s="31">
        <f t="shared" si="14"/>
        <v>1</v>
      </c>
      <c r="V40" s="36">
        <f t="shared" si="15"/>
        <v>0.14</v>
      </c>
      <c r="W40" s="36">
        <f t="shared" si="16"/>
        <v>0.14</v>
      </c>
      <c r="X40" s="31">
        <f t="shared" si="17"/>
        <v>0.09150326968492128</v>
      </c>
      <c r="Y40" s="111" t="e">
        <f>HLOOKUP(A40,'Investment Details (1)'!$C$8:$Z$36,12,FALSE)</f>
        <v>#N/A</v>
      </c>
      <c r="Z40" s="18" t="e">
        <f t="shared" si="18"/>
        <v>#N/A</v>
      </c>
      <c r="AA40" s="18" t="e">
        <f t="shared" si="19"/>
        <v>#N/A</v>
      </c>
      <c r="AB40" s="18" t="e">
        <f t="shared" si="20"/>
        <v>#N/A</v>
      </c>
      <c r="AC40" s="18" t="e">
        <f t="shared" si="21"/>
        <v>#N/A</v>
      </c>
      <c r="AD40" s="18" t="e">
        <f t="shared" si="22"/>
        <v>#N/A</v>
      </c>
      <c r="AE40" s="64" t="e">
        <f t="shared" si="23"/>
        <v>#N/A</v>
      </c>
      <c r="AF40" s="64" t="e">
        <f t="shared" si="24"/>
        <v>#N/A</v>
      </c>
      <c r="AG40" s="64" t="e">
        <f t="shared" si="25"/>
        <v>#N/A</v>
      </c>
      <c r="AH40" s="64" t="e">
        <f t="shared" si="26"/>
        <v>#N/A</v>
      </c>
      <c r="AI40" s="64">
        <v>0</v>
      </c>
      <c r="AJ40" s="69" t="e">
        <f t="shared" si="8"/>
        <v>#N/A</v>
      </c>
      <c r="AK40" s="69" t="e">
        <f t="shared" si="9"/>
        <v>#N/A</v>
      </c>
      <c r="AL40" s="69" t="e">
        <f t="shared" si="10"/>
        <v>#N/A</v>
      </c>
      <c r="AM40" s="69" t="e">
        <f t="shared" si="11"/>
        <v>#N/A</v>
      </c>
      <c r="AN40" s="70" t="e">
        <f t="shared" si="12"/>
        <v>#N/A</v>
      </c>
      <c r="AS40" s="35" t="s">
        <v>102</v>
      </c>
      <c r="AT40" s="35">
        <v>40595</v>
      </c>
      <c r="AU40" s="2">
        <v>14</v>
      </c>
      <c r="AV40" s="2">
        <v>100</v>
      </c>
      <c r="AW40" s="35" t="s">
        <v>102</v>
      </c>
      <c r="AX40" s="35">
        <v>40413</v>
      </c>
      <c r="AY40" s="2">
        <v>14</v>
      </c>
      <c r="AZ40" s="2">
        <v>100</v>
      </c>
    </row>
    <row r="41" spans="1:52" ht="11.25">
      <c r="A41" s="13" t="s">
        <v>39</v>
      </c>
      <c r="B41" s="37" t="str">
        <f t="shared" si="0"/>
        <v>TOL</v>
      </c>
      <c r="C41" s="112">
        <v>4.650000095367432</v>
      </c>
      <c r="D41" s="112">
        <v>3.1086</v>
      </c>
      <c r="E41" s="112">
        <v>2.5385314867287985</v>
      </c>
      <c r="F41" s="14">
        <v>41090</v>
      </c>
      <c r="G41" s="14">
        <v>42551</v>
      </c>
      <c r="H41" s="15">
        <f t="shared" si="1"/>
        <v>306</v>
      </c>
      <c r="I41" s="15">
        <f t="shared" si="2"/>
        <v>1767</v>
      </c>
      <c r="J41" s="106" t="e">
        <f>HLOOKUP(A41,'Investment Details (1)'!$C$8:$Z$36,11,FALSE)</f>
        <v>#N/A</v>
      </c>
      <c r="K41" s="16">
        <f t="shared" si="3"/>
        <v>0.9971313913613669</v>
      </c>
      <c r="L41" s="16" t="e">
        <f t="shared" si="4"/>
        <v>#N/A</v>
      </c>
      <c r="M41" s="16" t="e">
        <f t="shared" si="5"/>
        <v>#N/A</v>
      </c>
      <c r="N41" s="17" t="e">
        <f t="shared" si="6"/>
        <v>#N/A</v>
      </c>
      <c r="O41" s="75" t="e">
        <f>HLOOKUP(A41,'Investment Details (1)'!$C$8:$Z$36,15,FALSE)</f>
        <v>#N/A</v>
      </c>
      <c r="P41" s="63" t="e">
        <f t="shared" si="13"/>
        <v>#N/A</v>
      </c>
      <c r="Q41" s="63" t="e">
        <f t="shared" si="27"/>
        <v>#N/A</v>
      </c>
      <c r="R41" s="63" t="e">
        <f t="shared" si="27"/>
        <v>#N/A</v>
      </c>
      <c r="S41" s="63" t="e">
        <f t="shared" si="27"/>
        <v>#N/A</v>
      </c>
      <c r="T41" s="63" t="e">
        <f t="shared" si="27"/>
        <v>#N/A</v>
      </c>
      <c r="U41" s="31">
        <f t="shared" si="14"/>
        <v>1</v>
      </c>
      <c r="V41" s="36">
        <f t="shared" si="15"/>
        <v>0.135</v>
      </c>
      <c r="W41" s="36">
        <f t="shared" si="16"/>
        <v>0.115</v>
      </c>
      <c r="X41" s="31">
        <f t="shared" si="17"/>
        <v>0.053763439757573944</v>
      </c>
      <c r="Y41" s="111" t="e">
        <f>HLOOKUP(A41,'Investment Details (1)'!$C$8:$Z$36,12,FALSE)</f>
        <v>#N/A</v>
      </c>
      <c r="Z41" s="18" t="e">
        <f t="shared" si="18"/>
        <v>#N/A</v>
      </c>
      <c r="AA41" s="18" t="e">
        <f t="shared" si="19"/>
        <v>#N/A</v>
      </c>
      <c r="AB41" s="18" t="e">
        <f t="shared" si="20"/>
        <v>#N/A</v>
      </c>
      <c r="AC41" s="18" t="e">
        <f t="shared" si="21"/>
        <v>#N/A</v>
      </c>
      <c r="AD41" s="18" t="e">
        <f t="shared" si="22"/>
        <v>#N/A</v>
      </c>
      <c r="AE41" s="64" t="e">
        <f t="shared" si="23"/>
        <v>#N/A</v>
      </c>
      <c r="AF41" s="64" t="e">
        <f t="shared" si="24"/>
        <v>#N/A</v>
      </c>
      <c r="AG41" s="64" t="e">
        <f t="shared" si="25"/>
        <v>#N/A</v>
      </c>
      <c r="AH41" s="64" t="e">
        <f t="shared" si="26"/>
        <v>#N/A</v>
      </c>
      <c r="AI41" s="64">
        <v>0</v>
      </c>
      <c r="AJ41" s="69" t="e">
        <f t="shared" si="8"/>
        <v>#N/A</v>
      </c>
      <c r="AK41" s="69" t="e">
        <f t="shared" si="9"/>
        <v>#N/A</v>
      </c>
      <c r="AL41" s="69" t="e">
        <f t="shared" si="10"/>
        <v>#N/A</v>
      </c>
      <c r="AM41" s="69" t="e">
        <f t="shared" si="11"/>
        <v>#N/A</v>
      </c>
      <c r="AN41" s="70" t="e">
        <f t="shared" si="12"/>
        <v>#N/A</v>
      </c>
      <c r="AS41" s="35" t="s">
        <v>103</v>
      </c>
      <c r="AT41" s="35">
        <v>40609</v>
      </c>
      <c r="AU41" s="2">
        <v>11.5</v>
      </c>
      <c r="AV41" s="2">
        <v>100</v>
      </c>
      <c r="AW41" s="35" t="s">
        <v>103</v>
      </c>
      <c r="AX41" s="35">
        <v>40458</v>
      </c>
      <c r="AY41" s="2">
        <v>13.5</v>
      </c>
      <c r="AZ41" s="2">
        <v>100</v>
      </c>
    </row>
    <row r="42" spans="1:52" ht="11.25">
      <c r="A42" s="13" t="s">
        <v>121</v>
      </c>
      <c r="B42" s="37" t="str">
        <f t="shared" si="0"/>
        <v>UGL</v>
      </c>
      <c r="C42" s="112">
        <v>12.0600004196167</v>
      </c>
      <c r="D42" s="112">
        <v>6.62</v>
      </c>
      <c r="E42" s="112">
        <v>6.7301902380912315</v>
      </c>
      <c r="F42" s="14">
        <v>41090</v>
      </c>
      <c r="G42" s="14">
        <v>42551</v>
      </c>
      <c r="H42" s="15">
        <f t="shared" si="1"/>
        <v>306</v>
      </c>
      <c r="I42" s="15">
        <f t="shared" si="2"/>
        <v>1767</v>
      </c>
      <c r="J42" s="106" t="e">
        <f>HLOOKUP(A42,'Investment Details (1)'!$C$8:$Z$36,11,FALSE)</f>
        <v>#N/A</v>
      </c>
      <c r="K42" s="16">
        <f t="shared" si="3"/>
        <v>1.2901898184745324</v>
      </c>
      <c r="L42" s="16" t="e">
        <f t="shared" si="4"/>
        <v>#N/A</v>
      </c>
      <c r="M42" s="16" t="e">
        <f t="shared" si="5"/>
        <v>#N/A</v>
      </c>
      <c r="N42" s="17" t="e">
        <f t="shared" si="6"/>
        <v>#N/A</v>
      </c>
      <c r="O42" s="75" t="e">
        <f>HLOOKUP(A42,'Investment Details (1)'!$C$8:$Z$36,15,FALSE)</f>
        <v>#N/A</v>
      </c>
      <c r="P42" s="63" t="e">
        <f t="shared" si="13"/>
        <v>#N/A</v>
      </c>
      <c r="Q42" s="63" t="e">
        <f t="shared" si="27"/>
        <v>#N/A</v>
      </c>
      <c r="R42" s="63" t="e">
        <f t="shared" si="27"/>
        <v>#N/A</v>
      </c>
      <c r="S42" s="63" t="e">
        <f t="shared" si="27"/>
        <v>#N/A</v>
      </c>
      <c r="T42" s="63" t="e">
        <f t="shared" si="27"/>
        <v>#N/A</v>
      </c>
      <c r="U42" s="31">
        <f t="shared" si="14"/>
        <v>1</v>
      </c>
      <c r="V42" s="36">
        <f t="shared" si="15"/>
        <v>0.35</v>
      </c>
      <c r="W42" s="36">
        <f t="shared" si="16"/>
        <v>0.32</v>
      </c>
      <c r="X42" s="31">
        <f t="shared" si="17"/>
        <v>0.05555555362255074</v>
      </c>
      <c r="Y42" s="111" t="e">
        <f>HLOOKUP(A42,'Investment Details (1)'!$C$8:$Z$36,12,FALSE)</f>
        <v>#N/A</v>
      </c>
      <c r="Z42" s="18" t="e">
        <f t="shared" si="18"/>
        <v>#N/A</v>
      </c>
      <c r="AA42" s="18" t="e">
        <f t="shared" si="19"/>
        <v>#N/A</v>
      </c>
      <c r="AB42" s="18" t="e">
        <f t="shared" si="20"/>
        <v>#N/A</v>
      </c>
      <c r="AC42" s="18" t="e">
        <f t="shared" si="21"/>
        <v>#N/A</v>
      </c>
      <c r="AD42" s="18" t="e">
        <f t="shared" si="22"/>
        <v>#N/A</v>
      </c>
      <c r="AE42" s="64" t="e">
        <f t="shared" si="23"/>
        <v>#N/A</v>
      </c>
      <c r="AF42" s="64" t="e">
        <f t="shared" si="24"/>
        <v>#N/A</v>
      </c>
      <c r="AG42" s="64" t="e">
        <f t="shared" si="25"/>
        <v>#N/A</v>
      </c>
      <c r="AH42" s="64" t="e">
        <f t="shared" si="26"/>
        <v>#N/A</v>
      </c>
      <c r="AI42" s="64">
        <v>0</v>
      </c>
      <c r="AJ42" s="69" t="e">
        <f t="shared" si="8"/>
        <v>#N/A</v>
      </c>
      <c r="AK42" s="69" t="e">
        <f t="shared" si="9"/>
        <v>#N/A</v>
      </c>
      <c r="AL42" s="69" t="e">
        <f t="shared" si="10"/>
        <v>#N/A</v>
      </c>
      <c r="AM42" s="69" t="e">
        <f t="shared" si="11"/>
        <v>#N/A</v>
      </c>
      <c r="AN42" s="70" t="e">
        <f t="shared" si="12"/>
        <v>#N/A</v>
      </c>
      <c r="AS42" s="35" t="s">
        <v>128</v>
      </c>
      <c r="AT42" s="35">
        <v>40602</v>
      </c>
      <c r="AU42" s="2">
        <v>32</v>
      </c>
      <c r="AV42" s="2">
        <v>100</v>
      </c>
      <c r="AW42" s="35" t="s">
        <v>128</v>
      </c>
      <c r="AX42" s="35">
        <v>40417</v>
      </c>
      <c r="AY42" s="2">
        <v>35</v>
      </c>
      <c r="AZ42" s="2">
        <v>100</v>
      </c>
    </row>
    <row r="43" spans="1:52" ht="11.25">
      <c r="A43" s="13" t="s">
        <v>40</v>
      </c>
      <c r="B43" s="37" t="str">
        <f t="shared" si="0"/>
        <v>WDC</v>
      </c>
      <c r="C43" s="112">
        <v>7.670000076293945</v>
      </c>
      <c r="D43" s="112">
        <v>4.8054</v>
      </c>
      <c r="E43" s="112">
        <v>4.098026760492157</v>
      </c>
      <c r="F43" s="14">
        <v>41090</v>
      </c>
      <c r="G43" s="14">
        <v>42551</v>
      </c>
      <c r="H43" s="15">
        <f t="shared" si="1"/>
        <v>306</v>
      </c>
      <c r="I43" s="15">
        <f t="shared" si="2"/>
        <v>1767</v>
      </c>
      <c r="J43" s="106" t="e">
        <f>HLOOKUP(A43,'Investment Details (1)'!$C$8:$Z$36,11,FALSE)</f>
        <v>#N/A</v>
      </c>
      <c r="K43" s="16">
        <f t="shared" si="3"/>
        <v>1.2334266841982116</v>
      </c>
      <c r="L43" s="16" t="e">
        <f t="shared" si="4"/>
        <v>#N/A</v>
      </c>
      <c r="M43" s="16" t="e">
        <f t="shared" si="5"/>
        <v>#N/A</v>
      </c>
      <c r="N43" s="17" t="e">
        <f t="shared" si="6"/>
        <v>#N/A</v>
      </c>
      <c r="O43" s="75" t="e">
        <f>HLOOKUP(A43,'Investment Details (1)'!$C$8:$Z$36,15,FALSE)</f>
        <v>#N/A</v>
      </c>
      <c r="P43" s="63" t="e">
        <f t="shared" si="13"/>
        <v>#N/A</v>
      </c>
      <c r="Q43" s="63" t="e">
        <f t="shared" si="27"/>
        <v>#N/A</v>
      </c>
      <c r="R43" s="63" t="e">
        <f t="shared" si="27"/>
        <v>#N/A</v>
      </c>
      <c r="S43" s="63" t="e">
        <f t="shared" si="27"/>
        <v>#N/A</v>
      </c>
      <c r="T43" s="63" t="e">
        <f t="shared" si="27"/>
        <v>#N/A</v>
      </c>
      <c r="U43" s="31">
        <f t="shared" si="14"/>
        <v>0</v>
      </c>
      <c r="V43" s="36">
        <f t="shared" si="15"/>
        <v>0.32</v>
      </c>
      <c r="W43" s="36">
        <f t="shared" si="16"/>
        <v>0.3156</v>
      </c>
      <c r="X43" s="31">
        <f t="shared" si="17"/>
        <v>0.08286831729825933</v>
      </c>
      <c r="Y43" s="111" t="e">
        <f>HLOOKUP(A43,'Investment Details (1)'!$C$8:$Z$36,12,FALSE)</f>
        <v>#N/A</v>
      </c>
      <c r="Z43" s="18" t="e">
        <f t="shared" si="18"/>
        <v>#N/A</v>
      </c>
      <c r="AA43" s="18" t="e">
        <f t="shared" si="19"/>
        <v>#N/A</v>
      </c>
      <c r="AB43" s="18" t="e">
        <f t="shared" si="20"/>
        <v>#N/A</v>
      </c>
      <c r="AC43" s="18" t="e">
        <f t="shared" si="21"/>
        <v>#N/A</v>
      </c>
      <c r="AD43" s="18" t="e">
        <f t="shared" si="22"/>
        <v>#N/A</v>
      </c>
      <c r="AE43" s="64" t="e">
        <f t="shared" si="23"/>
        <v>#N/A</v>
      </c>
      <c r="AF43" s="64" t="e">
        <f t="shared" si="24"/>
        <v>#N/A</v>
      </c>
      <c r="AG43" s="64" t="e">
        <f t="shared" si="25"/>
        <v>#N/A</v>
      </c>
      <c r="AH43" s="64" t="e">
        <f t="shared" si="26"/>
        <v>#N/A</v>
      </c>
      <c r="AI43" s="64">
        <v>0</v>
      </c>
      <c r="AJ43" s="69" t="e">
        <f t="shared" si="8"/>
        <v>#N/A</v>
      </c>
      <c r="AK43" s="69" t="e">
        <f t="shared" si="9"/>
        <v>#N/A</v>
      </c>
      <c r="AL43" s="69" t="e">
        <f t="shared" si="10"/>
        <v>#N/A</v>
      </c>
      <c r="AM43" s="69" t="e">
        <f t="shared" si="11"/>
        <v>#N/A</v>
      </c>
      <c r="AN43" s="70" t="e">
        <f t="shared" si="12"/>
        <v>#N/A</v>
      </c>
      <c r="AS43" s="35" t="s">
        <v>104</v>
      </c>
      <c r="AT43" s="35">
        <v>40582</v>
      </c>
      <c r="AU43" s="2">
        <v>31.56</v>
      </c>
      <c r="AV43" s="2">
        <v>0</v>
      </c>
      <c r="AW43" s="35" t="s">
        <v>104</v>
      </c>
      <c r="AX43" s="35">
        <v>40400</v>
      </c>
      <c r="AY43" s="2">
        <v>32</v>
      </c>
      <c r="AZ43" s="2">
        <v>0</v>
      </c>
    </row>
    <row r="44" spans="1:52" ht="11.25">
      <c r="A44" s="13" t="s">
        <v>41</v>
      </c>
      <c r="B44" s="37" t="str">
        <f t="shared" si="0"/>
        <v>WES</v>
      </c>
      <c r="C44" s="112">
        <v>30.229999542236328</v>
      </c>
      <c r="D44" s="112">
        <v>16.7671</v>
      </c>
      <c r="E44" s="112">
        <v>16.96078834136438</v>
      </c>
      <c r="F44" s="14">
        <v>41090</v>
      </c>
      <c r="G44" s="14">
        <v>42551</v>
      </c>
      <c r="H44" s="15">
        <f t="shared" si="1"/>
        <v>306</v>
      </c>
      <c r="I44" s="15">
        <f t="shared" si="2"/>
        <v>1767</v>
      </c>
      <c r="J44" s="106" t="e">
        <f>HLOOKUP(A44,'Investment Details (1)'!$C$8:$Z$36,11,FALSE)</f>
        <v>#N/A</v>
      </c>
      <c r="K44" s="16">
        <f t="shared" si="3"/>
        <v>3.4978887991280523</v>
      </c>
      <c r="L44" s="16" t="e">
        <f t="shared" si="4"/>
        <v>#N/A</v>
      </c>
      <c r="M44" s="16" t="e">
        <f t="shared" si="5"/>
        <v>#N/A</v>
      </c>
      <c r="N44" s="17" t="e">
        <f t="shared" si="6"/>
        <v>#N/A</v>
      </c>
      <c r="O44" s="75" t="e">
        <f>HLOOKUP(A44,'Investment Details (1)'!$C$8:$Z$36,15,FALSE)</f>
        <v>#N/A</v>
      </c>
      <c r="P44" s="63" t="e">
        <f t="shared" si="13"/>
        <v>#N/A</v>
      </c>
      <c r="Q44" s="63" t="e">
        <f t="shared" si="27"/>
        <v>#N/A</v>
      </c>
      <c r="R44" s="63" t="e">
        <f t="shared" si="27"/>
        <v>#N/A</v>
      </c>
      <c r="S44" s="63" t="e">
        <f t="shared" si="27"/>
        <v>#N/A</v>
      </c>
      <c r="T44" s="63" t="e">
        <f t="shared" si="27"/>
        <v>#N/A</v>
      </c>
      <c r="U44" s="31">
        <f t="shared" si="14"/>
        <v>1</v>
      </c>
      <c r="V44" s="36">
        <f t="shared" si="15"/>
        <v>0.7</v>
      </c>
      <c r="W44" s="36">
        <f t="shared" si="16"/>
        <v>0.65</v>
      </c>
      <c r="X44" s="31">
        <f t="shared" si="17"/>
        <v>0.04465762555218785</v>
      </c>
      <c r="Y44" s="111" t="e">
        <f>HLOOKUP(A44,'Investment Details (1)'!$C$8:$Z$36,12,FALSE)</f>
        <v>#N/A</v>
      </c>
      <c r="Z44" s="18" t="e">
        <f t="shared" si="18"/>
        <v>#N/A</v>
      </c>
      <c r="AA44" s="18" t="e">
        <f t="shared" si="19"/>
        <v>#N/A</v>
      </c>
      <c r="AB44" s="18" t="e">
        <f t="shared" si="20"/>
        <v>#N/A</v>
      </c>
      <c r="AC44" s="18" t="e">
        <f t="shared" si="21"/>
        <v>#N/A</v>
      </c>
      <c r="AD44" s="18" t="e">
        <f t="shared" si="22"/>
        <v>#N/A</v>
      </c>
      <c r="AE44" s="64" t="e">
        <f t="shared" si="23"/>
        <v>#N/A</v>
      </c>
      <c r="AF44" s="64" t="e">
        <f t="shared" si="24"/>
        <v>#N/A</v>
      </c>
      <c r="AG44" s="64" t="e">
        <f t="shared" si="25"/>
        <v>#N/A</v>
      </c>
      <c r="AH44" s="64" t="e">
        <f t="shared" si="26"/>
        <v>#N/A</v>
      </c>
      <c r="AI44" s="64">
        <v>0</v>
      </c>
      <c r="AJ44" s="69" t="e">
        <f t="shared" si="8"/>
        <v>#N/A</v>
      </c>
      <c r="AK44" s="69" t="e">
        <f t="shared" si="9"/>
        <v>#N/A</v>
      </c>
      <c r="AL44" s="69" t="e">
        <f t="shared" si="10"/>
        <v>#N/A</v>
      </c>
      <c r="AM44" s="69" t="e">
        <f t="shared" si="11"/>
        <v>#N/A</v>
      </c>
      <c r="AN44" s="70" t="e">
        <f t="shared" si="12"/>
        <v>#N/A</v>
      </c>
      <c r="AS44" s="35" t="s">
        <v>105</v>
      </c>
      <c r="AT44" s="35">
        <v>40596</v>
      </c>
      <c r="AU44" s="2">
        <v>65</v>
      </c>
      <c r="AV44" s="2">
        <v>100</v>
      </c>
      <c r="AW44" s="35" t="s">
        <v>105</v>
      </c>
      <c r="AX44" s="35">
        <v>40414</v>
      </c>
      <c r="AY44" s="2">
        <v>70</v>
      </c>
      <c r="AZ44" s="2">
        <v>100</v>
      </c>
    </row>
    <row r="45" spans="1:52" ht="12" thickBot="1">
      <c r="A45" s="13" t="s">
        <v>42</v>
      </c>
      <c r="B45" s="37" t="str">
        <f t="shared" si="0"/>
        <v>WOW</v>
      </c>
      <c r="C45" s="113">
        <v>25.229999542236328</v>
      </c>
      <c r="D45" s="112">
        <v>14.4708</v>
      </c>
      <c r="E45" s="112">
        <v>13.305996276335376</v>
      </c>
      <c r="F45" s="14">
        <v>41090</v>
      </c>
      <c r="G45" s="14">
        <v>42551</v>
      </c>
      <c r="H45" s="15">
        <f t="shared" si="1"/>
        <v>306</v>
      </c>
      <c r="I45" s="15">
        <f t="shared" si="2"/>
        <v>1767</v>
      </c>
      <c r="J45" s="106" t="e">
        <f>HLOOKUP(A45,'Investment Details (1)'!$C$8:$Z$36,11,FALSE)</f>
        <v>#N/A</v>
      </c>
      <c r="K45" s="16">
        <f t="shared" si="3"/>
        <v>2.5467967340990487</v>
      </c>
      <c r="L45" s="16" t="e">
        <f t="shared" si="4"/>
        <v>#N/A</v>
      </c>
      <c r="M45" s="16" t="e">
        <f t="shared" si="5"/>
        <v>#N/A</v>
      </c>
      <c r="N45" s="17" t="e">
        <f t="shared" si="6"/>
        <v>#N/A</v>
      </c>
      <c r="O45" s="75" t="e">
        <f>HLOOKUP(A45,'Investment Details (1)'!$C$8:$Z$36,15,FALSE)</f>
        <v>#N/A</v>
      </c>
      <c r="P45" s="63" t="e">
        <f t="shared" si="13"/>
        <v>#N/A</v>
      </c>
      <c r="Q45" s="63" t="e">
        <f aca="true" t="shared" si="28" ref="Q45:T46">P45*(1+$O45)</f>
        <v>#N/A</v>
      </c>
      <c r="R45" s="63" t="e">
        <f t="shared" si="28"/>
        <v>#N/A</v>
      </c>
      <c r="S45" s="63" t="e">
        <f t="shared" si="28"/>
        <v>#N/A</v>
      </c>
      <c r="T45" s="63" t="e">
        <f t="shared" si="28"/>
        <v>#N/A</v>
      </c>
      <c r="U45" s="31">
        <f t="shared" si="14"/>
        <v>1</v>
      </c>
      <c r="V45" s="36">
        <f t="shared" si="15"/>
        <v>0.62</v>
      </c>
      <c r="W45" s="36">
        <f t="shared" si="16"/>
        <v>0.57</v>
      </c>
      <c r="X45" s="31">
        <f t="shared" si="17"/>
        <v>0.04716607299210918</v>
      </c>
      <c r="Y45" s="111" t="e">
        <f>HLOOKUP(A45,'Investment Details (1)'!$C$8:$Z$36,12,FALSE)</f>
        <v>#N/A</v>
      </c>
      <c r="Z45" s="18" t="e">
        <f t="shared" si="18"/>
        <v>#N/A</v>
      </c>
      <c r="AA45" s="18" t="e">
        <f t="shared" si="19"/>
        <v>#N/A</v>
      </c>
      <c r="AB45" s="18" t="e">
        <f t="shared" si="20"/>
        <v>#N/A</v>
      </c>
      <c r="AC45" s="18" t="e">
        <f t="shared" si="21"/>
        <v>#N/A</v>
      </c>
      <c r="AD45" s="18" t="e">
        <f t="shared" si="22"/>
        <v>#N/A</v>
      </c>
      <c r="AE45" s="64" t="e">
        <f t="shared" si="23"/>
        <v>#N/A</v>
      </c>
      <c r="AF45" s="64" t="e">
        <f t="shared" si="24"/>
        <v>#N/A</v>
      </c>
      <c r="AG45" s="64" t="e">
        <f t="shared" si="25"/>
        <v>#N/A</v>
      </c>
      <c r="AH45" s="64" t="e">
        <f t="shared" si="26"/>
        <v>#N/A</v>
      </c>
      <c r="AI45" s="64">
        <v>0</v>
      </c>
      <c r="AJ45" s="69" t="e">
        <f t="shared" si="8"/>
        <v>#N/A</v>
      </c>
      <c r="AK45" s="69" t="e">
        <f t="shared" si="9"/>
        <v>#N/A</v>
      </c>
      <c r="AL45" s="69" t="e">
        <f t="shared" si="10"/>
        <v>#N/A</v>
      </c>
      <c r="AM45" s="69" t="e">
        <f t="shared" si="11"/>
        <v>#N/A</v>
      </c>
      <c r="AN45" s="70" t="e">
        <f t="shared" si="12"/>
        <v>#N/A</v>
      </c>
      <c r="AS45" s="35" t="s">
        <v>106</v>
      </c>
      <c r="AT45" s="35">
        <v>40623</v>
      </c>
      <c r="AU45" s="2">
        <v>57</v>
      </c>
      <c r="AV45" s="2">
        <v>100</v>
      </c>
      <c r="AW45" s="35" t="s">
        <v>106</v>
      </c>
      <c r="AX45" s="35">
        <v>40434</v>
      </c>
      <c r="AY45" s="2">
        <v>62</v>
      </c>
      <c r="AZ45" s="2">
        <v>100</v>
      </c>
    </row>
    <row r="46" spans="1:52" ht="12" thickBot="1">
      <c r="A46" s="19" t="s">
        <v>43</v>
      </c>
      <c r="B46" s="37" t="str">
        <f t="shared" si="0"/>
        <v>WPL</v>
      </c>
      <c r="C46" s="114">
        <v>35.400001525878906</v>
      </c>
      <c r="D46" s="113">
        <v>22.5942</v>
      </c>
      <c r="E46" s="113">
        <v>19.367167627442278</v>
      </c>
      <c r="F46" s="20">
        <v>41090</v>
      </c>
      <c r="G46" s="20">
        <v>42551</v>
      </c>
      <c r="H46" s="21">
        <f t="shared" si="1"/>
        <v>306</v>
      </c>
      <c r="I46" s="21">
        <f t="shared" si="2"/>
        <v>1767</v>
      </c>
      <c r="J46" s="106" t="e">
        <f>HLOOKUP(A46,'Investment Details (1)'!$C$8:$Z$36,11,FALSE)</f>
        <v>#N/A</v>
      </c>
      <c r="K46" s="16">
        <f t="shared" si="3"/>
        <v>6.561366101563372</v>
      </c>
      <c r="L46" s="16" t="e">
        <f t="shared" si="4"/>
        <v>#N/A</v>
      </c>
      <c r="M46" s="16" t="e">
        <f t="shared" si="5"/>
        <v>#N/A</v>
      </c>
      <c r="N46" s="17" t="e">
        <f t="shared" si="6"/>
        <v>#N/A</v>
      </c>
      <c r="O46" s="75" t="e">
        <f>HLOOKUP(A46,'Investment Details (1)'!$C$8:$Z$36,15,FALSE)</f>
        <v>#N/A</v>
      </c>
      <c r="P46" s="63" t="e">
        <f t="shared" si="13"/>
        <v>#N/A</v>
      </c>
      <c r="Q46" s="63" t="e">
        <f t="shared" si="28"/>
        <v>#N/A</v>
      </c>
      <c r="R46" s="63" t="e">
        <f t="shared" si="28"/>
        <v>#N/A</v>
      </c>
      <c r="S46" s="63" t="e">
        <f t="shared" si="28"/>
        <v>#N/A</v>
      </c>
      <c r="T46" s="63" t="e">
        <f t="shared" si="28"/>
        <v>#N/A</v>
      </c>
      <c r="U46" s="31">
        <f t="shared" si="14"/>
        <v>1</v>
      </c>
      <c r="V46" s="36">
        <f t="shared" si="15"/>
        <v>0.5634440000000001</v>
      </c>
      <c r="W46" s="36">
        <f t="shared" si="16"/>
        <v>0.5449860000000001</v>
      </c>
      <c r="X46" s="31">
        <f t="shared" si="17"/>
        <v>0.031311580571251975</v>
      </c>
      <c r="Y46" s="111" t="e">
        <f>HLOOKUP(A46,'Investment Details (1)'!$C$8:$Z$36,12,FALSE)</f>
        <v>#N/A</v>
      </c>
      <c r="Z46" s="18" t="e">
        <f t="shared" si="18"/>
        <v>#N/A</v>
      </c>
      <c r="AA46" s="18" t="e">
        <f t="shared" si="19"/>
        <v>#N/A</v>
      </c>
      <c r="AB46" s="18" t="e">
        <f t="shared" si="20"/>
        <v>#N/A</v>
      </c>
      <c r="AC46" s="18" t="e">
        <f t="shared" si="21"/>
        <v>#N/A</v>
      </c>
      <c r="AD46" s="18" t="e">
        <f t="shared" si="22"/>
        <v>#N/A</v>
      </c>
      <c r="AE46" s="64" t="e">
        <f t="shared" si="23"/>
        <v>#N/A</v>
      </c>
      <c r="AF46" s="64" t="e">
        <f t="shared" si="24"/>
        <v>#N/A</v>
      </c>
      <c r="AG46" s="64" t="e">
        <f t="shared" si="25"/>
        <v>#N/A</v>
      </c>
      <c r="AH46" s="64" t="e">
        <f t="shared" si="26"/>
        <v>#N/A</v>
      </c>
      <c r="AI46" s="64">
        <v>0</v>
      </c>
      <c r="AJ46" s="69" t="e">
        <f t="shared" si="8"/>
        <v>#N/A</v>
      </c>
      <c r="AK46" s="69" t="e">
        <f t="shared" si="9"/>
        <v>#N/A</v>
      </c>
      <c r="AL46" s="69" t="e">
        <f t="shared" si="10"/>
        <v>#N/A</v>
      </c>
      <c r="AM46" s="69" t="e">
        <f t="shared" si="11"/>
        <v>#N/A</v>
      </c>
      <c r="AN46" s="70" t="e">
        <f t="shared" si="12"/>
        <v>#N/A</v>
      </c>
      <c r="AS46" s="35" t="s">
        <v>107</v>
      </c>
      <c r="AT46" s="35">
        <v>40598</v>
      </c>
      <c r="AU46" s="2">
        <v>54.4986</v>
      </c>
      <c r="AV46" s="2">
        <v>100</v>
      </c>
      <c r="AW46" s="35" t="s">
        <v>107</v>
      </c>
      <c r="AX46" s="35">
        <v>40413</v>
      </c>
      <c r="AY46" s="2">
        <v>56.3444</v>
      </c>
      <c r="AZ46" s="2">
        <v>100</v>
      </c>
    </row>
    <row r="47" spans="3:48" ht="12.75">
      <c r="C47" s="1"/>
      <c r="AR47"/>
      <c r="AS47"/>
      <c r="AT47"/>
      <c r="AU47"/>
      <c r="AV47"/>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CD43"/>
  <sheetViews>
    <sheetView showGridLines="0" showRowColHeaders="0" showZeros="0" showOutlineSymbols="0" workbookViewId="0" topLeftCell="A1">
      <selection activeCell="G10" sqref="G10"/>
    </sheetView>
  </sheetViews>
  <sheetFormatPr defaultColWidth="9.140625" defaultRowHeight="12.75"/>
  <cols>
    <col min="1" max="1" width="1.1484375" style="0" customWidth="1"/>
    <col min="2" max="2" width="21.8515625" style="0" customWidth="1"/>
    <col min="3" max="3" width="33.8515625" style="0" customWidth="1"/>
    <col min="4" max="4" width="13.8515625" style="0" customWidth="1"/>
    <col min="76" max="76" width="13.7109375" style="133" bestFit="1" customWidth="1"/>
    <col min="77" max="82" width="9.140625" style="133" customWidth="1"/>
    <col min="83" max="16384" width="9.140625" style="73" customWidth="1"/>
  </cols>
  <sheetData>
    <row r="1" spans="1:4" ht="12.75">
      <c r="A1" s="86"/>
      <c r="B1" s="86"/>
      <c r="C1" s="86"/>
      <c r="D1" s="86"/>
    </row>
    <row r="2" spans="1:4" ht="26.25">
      <c r="A2" s="86"/>
      <c r="B2" s="136"/>
      <c r="C2" s="137"/>
      <c r="D2" s="137"/>
    </row>
    <row r="3" spans="2:82" ht="12.75">
      <c r="B3" s="71"/>
      <c r="BX3" s="133" t="s">
        <v>158</v>
      </c>
      <c r="CD3" s="133" t="s">
        <v>0</v>
      </c>
    </row>
    <row r="4" ht="9.75">
      <c r="BX4" s="133" t="s">
        <v>159</v>
      </c>
    </row>
    <row r="5" spans="2:82" ht="12.75">
      <c r="B5" s="23" t="s">
        <v>166</v>
      </c>
      <c r="C5" s="34">
        <f>'SFI details (0)'!A4</f>
        <v>40784</v>
      </c>
      <c r="D5" s="72"/>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CD5" s="133" t="s">
        <v>116</v>
      </c>
    </row>
    <row r="6" spans="4:82" ht="12.75">
      <c r="D6" s="72"/>
      <c r="CD6" s="133" t="s">
        <v>11</v>
      </c>
    </row>
    <row r="7" spans="3:82" ht="13.5" thickBot="1">
      <c r="C7" s="28"/>
      <c r="D7" s="28"/>
      <c r="BX7" s="134">
        <v>0</v>
      </c>
      <c r="CD7" s="133" t="s">
        <v>12</v>
      </c>
    </row>
    <row r="8" spans="2:82" ht="25.5" customHeight="1">
      <c r="B8" s="166" t="s">
        <v>192</v>
      </c>
      <c r="C8" s="97" t="s">
        <v>133</v>
      </c>
      <c r="D8" s="138"/>
      <c r="BX8" s="135">
        <v>0.0055</v>
      </c>
      <c r="CD8" s="133" t="s">
        <v>13</v>
      </c>
    </row>
    <row r="9" spans="2:82" ht="12.75">
      <c r="B9" s="166"/>
      <c r="C9" s="95" t="s">
        <v>56</v>
      </c>
      <c r="D9" s="102"/>
      <c r="BX9" s="135">
        <v>0.011</v>
      </c>
      <c r="CD9" s="133" t="s">
        <v>14</v>
      </c>
    </row>
    <row r="10" spans="2:82" ht="12.75">
      <c r="B10" s="166"/>
      <c r="C10" s="95">
        <f>IF(D9="Cash","Investment Amount ($)",IF(D9="Securityholder","Number of shares",""))</f>
      </c>
      <c r="D10" s="103"/>
      <c r="BX10" s="135">
        <v>0.0165</v>
      </c>
      <c r="CD10" s="133" t="s">
        <v>15</v>
      </c>
    </row>
    <row r="11" spans="2:82" ht="12.75">
      <c r="B11" s="166"/>
      <c r="C11" s="95" t="s">
        <v>134</v>
      </c>
      <c r="D11" s="104"/>
      <c r="BX11" s="135">
        <v>0.022</v>
      </c>
      <c r="CD11" s="133" t="s">
        <v>16</v>
      </c>
    </row>
    <row r="12" spans="2:82" ht="12.75">
      <c r="B12" s="166"/>
      <c r="C12" s="95" t="s">
        <v>135</v>
      </c>
      <c r="D12" s="105"/>
      <c r="CD12" s="133" t="s">
        <v>117</v>
      </c>
    </row>
    <row r="13" spans="2:82" ht="12.75">
      <c r="B13" s="166"/>
      <c r="C13" s="93"/>
      <c r="D13" s="102"/>
      <c r="BX13" s="134">
        <v>0</v>
      </c>
      <c r="CD13" s="133" t="s">
        <v>118</v>
      </c>
    </row>
    <row r="14" spans="2:82" ht="12.75">
      <c r="B14" s="166"/>
      <c r="C14" s="95" t="s">
        <v>55</v>
      </c>
      <c r="D14" s="102"/>
      <c r="BX14" s="135">
        <v>0.00275</v>
      </c>
      <c r="CD14" s="133" t="s">
        <v>17</v>
      </c>
    </row>
    <row r="15" spans="2:82" ht="13.5" thickBot="1">
      <c r="B15" s="166"/>
      <c r="C15" s="93" t="s">
        <v>57</v>
      </c>
      <c r="D15" s="151"/>
      <c r="CD15" s="133" t="s">
        <v>18</v>
      </c>
    </row>
    <row r="16" spans="2:82" ht="13.5" thickBot="1">
      <c r="B16" s="99"/>
      <c r="C16" s="130"/>
      <c r="D16" s="131"/>
      <c r="CD16" s="133" t="s">
        <v>19</v>
      </c>
    </row>
    <row r="17" spans="2:82" ht="12.75">
      <c r="B17" s="166" t="s">
        <v>188</v>
      </c>
      <c r="C17" s="92" t="s">
        <v>189</v>
      </c>
      <c r="D17" s="152">
        <v>0.0775</v>
      </c>
      <c r="BX17" s="133" t="s">
        <v>160</v>
      </c>
      <c r="CD17" s="133" t="s">
        <v>20</v>
      </c>
    </row>
    <row r="18" spans="2:82" ht="22.5">
      <c r="B18" s="166"/>
      <c r="C18" s="93" t="s">
        <v>190</v>
      </c>
      <c r="D18" s="101">
        <v>0.088</v>
      </c>
      <c r="BX18" s="133" t="s">
        <v>177</v>
      </c>
      <c r="CD18" s="133" t="s">
        <v>21</v>
      </c>
    </row>
    <row r="19" spans="2:82" ht="12.75">
      <c r="B19" s="166"/>
      <c r="C19" s="93" t="s">
        <v>136</v>
      </c>
      <c r="D19" s="164">
        <f>IF(ISNA(VLOOKUP(D8,'SFI details (0)'!$A$8:$AN$46,24,FALSE)),"",VLOOKUP(D8,'SFI details (0)'!$A$8:$AN$46,24,FALSE))</f>
      </c>
      <c r="BX19" s="135"/>
      <c r="CD19" s="133" t="s">
        <v>22</v>
      </c>
    </row>
    <row r="20" spans="2:82" ht="12.75">
      <c r="B20" s="166"/>
      <c r="C20" s="93" t="s">
        <v>129</v>
      </c>
      <c r="D20" s="164">
        <f>IF(ISNA(VLOOKUP(D8,'SFI details (0)'!$A$8:$AN$46,21,FALSE)),"",VLOOKUP(D8,'SFI details (0)'!$A$8:$AN$46,21,FALSE))</f>
      </c>
      <c r="BX20" s="134"/>
      <c r="CD20" s="133" t="s">
        <v>119</v>
      </c>
    </row>
    <row r="21" spans="2:82" ht="13.5" thickBot="1">
      <c r="B21" s="99"/>
      <c r="C21" s="93" t="s">
        <v>191</v>
      </c>
      <c r="D21" s="101">
        <v>0.03</v>
      </c>
      <c r="CD21" s="133" t="s">
        <v>23</v>
      </c>
    </row>
    <row r="22" spans="2:82" ht="13.5" thickBot="1">
      <c r="B22" s="99"/>
      <c r="C22" s="130"/>
      <c r="D22" s="132"/>
      <c r="CD22" s="133" t="s">
        <v>24</v>
      </c>
    </row>
    <row r="23" spans="2:82" ht="12.75">
      <c r="B23" s="166" t="s">
        <v>137</v>
      </c>
      <c r="C23" s="92" t="s">
        <v>139</v>
      </c>
      <c r="D23" s="153">
        <f>IF(ISNA((VLOOKUP(D8,'SFI details (0)'!$A$8:$AN$46,3,FALSE))*D30),"",(VLOOKUP(D8,'SFI details (0)'!$A$8:$AN$46,3,FALSE))*D30)</f>
      </c>
      <c r="CD23" s="133" t="s">
        <v>25</v>
      </c>
    </row>
    <row r="24" spans="2:82" ht="12.75">
      <c r="B24" s="166"/>
      <c r="C24" s="93" t="s">
        <v>140</v>
      </c>
      <c r="D24" s="154">
        <f>IF(ISNA((VLOOKUP(D8,'SFI details (0)'!$A$8:$AN$46,4,FALSE))*D30),"",(VLOOKUP(D8,'SFI details (0)'!$A$8:$AN$46,4,FALSE))*D30)</f>
      </c>
      <c r="CD24" s="133" t="s">
        <v>26</v>
      </c>
    </row>
    <row r="25" spans="2:82" ht="12.75">
      <c r="B25" s="166"/>
      <c r="C25" s="93" t="s">
        <v>141</v>
      </c>
      <c r="D25" s="154">
        <f>IF(ISNA((VLOOKUP(D8,'SFI details (0)'!$A$8:$AN$46,12,FALSE))*D30),"",(VLOOKUP(D8,'SFI details (0)'!$A$8:$AN$46,12,FALSE))*D30)</f>
      </c>
      <c r="CD25" s="133" t="s">
        <v>27</v>
      </c>
    </row>
    <row r="26" spans="2:82" ht="12.75">
      <c r="B26" s="166"/>
      <c r="C26" s="93" t="s">
        <v>142</v>
      </c>
      <c r="D26" s="154">
        <f>IF(ISNA((VLOOKUP(D8,'SFI details (0)'!$A$8:$AN$46,13,FALSE))*D30),"",(VLOOKUP(D8,'SFI details (0)'!$A$8:$AN$46,13,FALSE))*D30)</f>
      </c>
      <c r="CD26" s="133" t="s">
        <v>28</v>
      </c>
    </row>
    <row r="27" spans="2:82" ht="12.75">
      <c r="B27" s="166"/>
      <c r="C27" s="94" t="s">
        <v>163</v>
      </c>
      <c r="D27" s="154">
        <f>IF(ISERROR(IF(ISNA((D24*D11)+(D24*D12*(((DATE(2016,6,30)-C5))/365))),"",(D24*D11)+(D24*D12*(((DATE(2016,6,30)-C5))/365)))),"",IF(ISNA((D24*D11)+(D24*D12*(((DATE(2016,6,30)-C5))/365))),"",(D24*D11)+(D24*D12*(((DATE(2016,6,30)-C5))/365))))</f>
      </c>
      <c r="CD27" s="133" t="s">
        <v>29</v>
      </c>
    </row>
    <row r="28" spans="2:82" ht="14.25" customHeight="1">
      <c r="B28" s="166"/>
      <c r="C28" s="93" t="s">
        <v>162</v>
      </c>
      <c r="D28" s="155">
        <f>IF(ISERROR((D23-D24+D25+D26)),"",(D23-D24+D25+D26))</f>
      </c>
      <c r="CD28" s="133" t="s">
        <v>120</v>
      </c>
    </row>
    <row r="29" spans="2:82" ht="12.75">
      <c r="B29" s="166"/>
      <c r="C29" s="98"/>
      <c r="D29" s="156"/>
      <c r="CD29" s="133" t="s">
        <v>30</v>
      </c>
    </row>
    <row r="30" spans="2:82" ht="12.75" customHeight="1">
      <c r="B30" s="166"/>
      <c r="C30" s="94" t="s">
        <v>138</v>
      </c>
      <c r="D30" s="157">
        <f>IF(ISNA(ROUNDDOWN(IF(D9="Cash",D10/(VLOOKUP(D8,'SFI details (0)'!$A$8:$AN$46,5,FALSE)),D10),0)),"",ROUNDDOWN(IF(D9="Cash",D10/(VLOOKUP(D8,'SFI details (0)'!$A$8:$AN$46,5,FALSE)),D10),0))</f>
        <v>0</v>
      </c>
      <c r="CD30" s="133" t="s">
        <v>31</v>
      </c>
    </row>
    <row r="31" spans="2:82" ht="13.5" thickBot="1">
      <c r="B31" s="166"/>
      <c r="C31" s="96" t="s">
        <v>161</v>
      </c>
      <c r="D31" s="158">
        <f>IF(D9="Securityholder",D24-D25-D26,"")</f>
      </c>
      <c r="CD31" s="133" t="s">
        <v>32</v>
      </c>
    </row>
    <row r="32" spans="2:82" ht="13.5" thickBot="1">
      <c r="B32" s="100"/>
      <c r="C32" s="93"/>
      <c r="D32" s="159"/>
      <c r="CD32" s="133" t="s">
        <v>33</v>
      </c>
    </row>
    <row r="33" spans="2:82" ht="12.75">
      <c r="B33" s="165" t="s">
        <v>143</v>
      </c>
      <c r="C33" s="107" t="s">
        <v>139</v>
      </c>
      <c r="D33" s="160">
        <f>IF(ISNA((VLOOKUP(D8,'SFI details (0)'!$A$8:$AN$46,20,FALSE))*D30),"",(VLOOKUP(D8,'SFI details (0)'!$A$8:$AN$46,20,FALSE))*D30)</f>
      </c>
      <c r="CD33" s="133" t="s">
        <v>34</v>
      </c>
    </row>
    <row r="34" spans="2:82" ht="12.75">
      <c r="B34" s="165"/>
      <c r="C34" s="108" t="s">
        <v>140</v>
      </c>
      <c r="D34" s="161">
        <f>IF(ISNA((VLOOKUP(D8,'SFI details (0)'!$A$8:$AN$46,20,FALSE))*D30),"",(VLOOKUP(D8,'SFI details (0)'!$A$8:$AN$46,39,FALSE))*D30)</f>
      </c>
      <c r="CD34" s="133" t="s">
        <v>35</v>
      </c>
    </row>
    <row r="35" spans="2:82" ht="12.75">
      <c r="B35" s="165"/>
      <c r="C35" s="109"/>
      <c r="D35" s="162"/>
      <c r="CD35" s="133" t="s">
        <v>36</v>
      </c>
    </row>
    <row r="36" spans="2:82" ht="13.5" thickBot="1">
      <c r="B36" s="165"/>
      <c r="C36" s="110" t="s">
        <v>144</v>
      </c>
      <c r="D36" s="163">
        <f>IF(ISERROR(D33-D34),"",D33-D34)</f>
      </c>
      <c r="CD36" s="133" t="s">
        <v>37</v>
      </c>
    </row>
    <row r="37" ht="12.75">
      <c r="CD37" s="133" t="s">
        <v>38</v>
      </c>
    </row>
    <row r="38" spans="3:82" ht="12.75">
      <c r="C38" s="27"/>
      <c r="CD38" s="133" t="s">
        <v>39</v>
      </c>
    </row>
    <row r="39" ht="12.75">
      <c r="CD39" s="133" t="s">
        <v>121</v>
      </c>
    </row>
    <row r="40" ht="12.75">
      <c r="CD40" s="133" t="s">
        <v>40</v>
      </c>
    </row>
    <row r="41" ht="12.75">
      <c r="CD41" s="133" t="s">
        <v>41</v>
      </c>
    </row>
    <row r="42" ht="12.75">
      <c r="CD42" s="133" t="s">
        <v>42</v>
      </c>
    </row>
    <row r="43" ht="12.75">
      <c r="CD43" s="133" t="s">
        <v>43</v>
      </c>
    </row>
  </sheetData>
  <sheetProtection formatCells="0" formatColumns="0" formatRows="0" insertColumns="0" insertRows="0" insertHyperlinks="0" deleteColumns="0" deleteRows="0" sort="0" autoFilter="0" pivotTables="0"/>
  <mergeCells count="5">
    <mergeCell ref="B33:B36"/>
    <mergeCell ref="B23:B31"/>
    <mergeCell ref="B17:B20"/>
    <mergeCell ref="B8:B11"/>
    <mergeCell ref="B12:B15"/>
  </mergeCells>
  <conditionalFormatting sqref="D32:D36 D8:D30">
    <cfRule type="expression" priority="56" dxfId="0" stopIfTrue="1">
      <formula>ISERROR($D$17)</formula>
    </cfRule>
  </conditionalFormatting>
  <conditionalFormatting sqref="D31">
    <cfRule type="expression" priority="58" dxfId="0" stopIfTrue="1">
      <formula>ISERROR(D31)</formula>
    </cfRule>
  </conditionalFormatting>
  <dataValidations count="5">
    <dataValidation type="list" allowBlank="1" showInputMessage="1" showErrorMessage="1" sqref="D8">
      <formula1>$CD$4:$CD$43</formula1>
    </dataValidation>
    <dataValidation type="list" allowBlank="1" showInputMessage="1" showErrorMessage="1" sqref="D9">
      <formula1>$BX$3:$BX$4</formula1>
    </dataValidation>
    <dataValidation type="list" allowBlank="1" showInputMessage="1" showErrorMessage="1" sqref="D11">
      <formula1>$BX$7:$BX$11</formula1>
    </dataValidation>
    <dataValidation type="list" allowBlank="1" showInputMessage="1" showErrorMessage="1" sqref="D12">
      <formula1>$BX$13:$BX$14</formula1>
    </dataValidation>
    <dataValidation type="list" allowBlank="1" showInputMessage="1" showErrorMessage="1" sqref="D14">
      <formula1>$BX$17:$BX$18</formula1>
    </dataValidation>
  </dataValidations>
  <printOptions/>
  <pageMargins left="0.1968503937007874" right="0.1968503937007874" top="0.1968503937007874" bottom="0.1968503937007874" header="0.11811023622047245" footer="0.11811023622047245"/>
  <pageSetup fitToHeight="0" fitToWidth="0" horizontalDpi="600" verticalDpi="600" orientation="portrait" paperSize="9" r:id="rId2"/>
  <ignoredErrors>
    <ignoredError sqref="D18 D35 D32 D29" evalError="1" unlockedFormula="1"/>
    <ignoredError sqref="D30:D31 D36 D33:D34 D19:D28 D16:D17" unlockedFormula="1"/>
  </ignoredErrors>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2:K23"/>
  <sheetViews>
    <sheetView showGridLines="0" showRowColHeaders="0" showZeros="0" showOutlineSymbols="0" zoomScalePageLayoutView="0" workbookViewId="0" topLeftCell="A1">
      <selection activeCell="B5" sqref="B5"/>
    </sheetView>
  </sheetViews>
  <sheetFormatPr defaultColWidth="9.140625" defaultRowHeight="12.75"/>
  <cols>
    <col min="1" max="1" width="1.8515625" style="148" customWidth="1"/>
    <col min="2" max="2" width="26.7109375" style="86" customWidth="1"/>
    <col min="3" max="3" width="7.421875" style="0" bestFit="1" customWidth="1"/>
    <col min="4" max="4" width="14.57421875" style="0" customWidth="1"/>
    <col min="5" max="5" width="13.57421875" style="0" customWidth="1"/>
    <col min="6" max="6" width="14.7109375" style="0" customWidth="1"/>
    <col min="7" max="7" width="13.57421875" style="0" customWidth="1"/>
    <col min="8" max="8" width="14.00390625" style="0" customWidth="1"/>
    <col min="9" max="9" width="15.140625" style="0" bestFit="1" customWidth="1"/>
  </cols>
  <sheetData>
    <row r="1" ht="12.75"/>
    <row r="2" ht="26.25">
      <c r="B2" s="22"/>
    </row>
    <row r="3" ht="12.75">
      <c r="B3" s="71"/>
    </row>
    <row r="4" ht="13.5" thickBot="1"/>
    <row r="5" spans="1:3" ht="12.75">
      <c r="A5" s="148">
        <v>0</v>
      </c>
      <c r="B5" s="87" t="s">
        <v>133</v>
      </c>
      <c r="C5" s="77" t="s">
        <v>145</v>
      </c>
    </row>
    <row r="6" spans="2:3" ht="13.5" thickBot="1">
      <c r="B6" s="88">
        <f ca="1">OFFSET('Investment Details (1)'!$D$8,0,A5)</f>
        <v>0</v>
      </c>
      <c r="C6" s="74">
        <f ca="1">OFFSET('Investment Details (1)'!$D$30,0,A5)</f>
        <v>0</v>
      </c>
    </row>
    <row r="7" spans="1:11" s="79" customFormat="1" ht="23.25" thickBot="1">
      <c r="A7" s="149"/>
      <c r="B7" s="89" t="s">
        <v>68</v>
      </c>
      <c r="C7" s="80"/>
      <c r="D7" s="116" t="s">
        <v>59</v>
      </c>
      <c r="E7" s="117" t="s">
        <v>63</v>
      </c>
      <c r="F7" s="117" t="s">
        <v>64</v>
      </c>
      <c r="G7" s="117" t="s">
        <v>65</v>
      </c>
      <c r="H7" s="117" t="s">
        <v>66</v>
      </c>
      <c r="I7" s="123" t="s">
        <v>67</v>
      </c>
      <c r="J7" s="78"/>
      <c r="K7" s="78"/>
    </row>
    <row r="8" spans="1:11" ht="12.75">
      <c r="A8" s="150"/>
      <c r="B8" s="90" t="s">
        <v>60</v>
      </c>
      <c r="C8" s="29"/>
      <c r="D8" s="82" t="e">
        <f>(VLOOKUP(B6,'SFI details (0)'!$A$8:$AN$46,26,FALSE))*C6</f>
        <v>#N/A</v>
      </c>
      <c r="E8" s="82" t="e">
        <f>(VLOOKUP(B6,'SFI details (0)'!$A$8:$AN$46,27,FALSE))*C6</f>
        <v>#N/A</v>
      </c>
      <c r="F8" s="82" t="e">
        <f>(VLOOKUP(B6,'SFI details (0)'!$A$8:$AN$46,28,FALSE))*C6</f>
        <v>#N/A</v>
      </c>
      <c r="G8" s="82" t="e">
        <f>(VLOOKUP(B6,'SFI details (0)'!$A$8:$AN$46,29,FALSE))*C6</f>
        <v>#N/A</v>
      </c>
      <c r="H8" s="82" t="e">
        <f>(VLOOKUP(B6,'SFI details (0)'!$A$8:$AN$46,30,FALSE))*C6</f>
        <v>#N/A</v>
      </c>
      <c r="I8" s="124" t="e">
        <f>D8+E8+F8+G8+H8</f>
        <v>#N/A</v>
      </c>
      <c r="K8" s="28"/>
    </row>
    <row r="9" spans="1:9" ht="12.75">
      <c r="A9" s="150"/>
      <c r="B9" s="90" t="s">
        <v>61</v>
      </c>
      <c r="C9" s="29"/>
      <c r="D9" s="82" t="e">
        <f>(VLOOKUP(B6,'SFI details (0)'!$A$8:$AN$46,21,FALSE))*D8*0.3/0.7</f>
        <v>#N/A</v>
      </c>
      <c r="E9" s="82" t="e">
        <f>(VLOOKUP(B6,'SFI details (0)'!$A$8:$AN$46,21,FALSE))*E8*0.3/0.7</f>
        <v>#N/A</v>
      </c>
      <c r="F9" s="82" t="e">
        <f>(VLOOKUP(B6,'SFI details (0)'!$A$8:$AN$46,21,FALSE))*F8*0.3/0.7</f>
        <v>#N/A</v>
      </c>
      <c r="G9" s="82" t="e">
        <f>(VLOOKUP(B6,'SFI details (0)'!$A$8:$AN$46,21,FALSE))*G8*0.3/0.7</f>
        <v>#N/A</v>
      </c>
      <c r="H9" s="82" t="e">
        <f>(VLOOKUP(B6,'SFI details (0)'!$A$8:$AN$46,21,FALSE))*H8*0.3/0.7</f>
        <v>#N/A</v>
      </c>
      <c r="I9" s="124" t="e">
        <f>D9+E9+F9+G9+H9</f>
        <v>#N/A</v>
      </c>
    </row>
    <row r="10" spans="1:9" ht="13.5" thickBot="1">
      <c r="A10" s="150"/>
      <c r="B10" s="118" t="s">
        <v>183</v>
      </c>
      <c r="C10" s="119"/>
      <c r="D10" s="120" t="e">
        <f>D8+D9</f>
        <v>#N/A</v>
      </c>
      <c r="E10" s="120" t="e">
        <f>E8+E9</f>
        <v>#N/A</v>
      </c>
      <c r="F10" s="120" t="e">
        <f>F8+F9</f>
        <v>#N/A</v>
      </c>
      <c r="G10" s="120" t="e">
        <f>G8+G9</f>
        <v>#N/A</v>
      </c>
      <c r="H10" s="120" t="e">
        <f>H8+H9</f>
        <v>#N/A</v>
      </c>
      <c r="I10" s="125" t="e">
        <f>D10+E10+F10+G10+H10</f>
        <v>#N/A</v>
      </c>
    </row>
    <row r="11" spans="1:9" ht="12.75">
      <c r="A11" s="150"/>
      <c r="B11" s="91" t="s">
        <v>187</v>
      </c>
      <c r="C11" s="25"/>
      <c r="D11" s="83"/>
      <c r="E11" s="83"/>
      <c r="F11" s="83"/>
      <c r="G11" s="83"/>
      <c r="H11" s="83"/>
      <c r="I11" s="126"/>
    </row>
    <row r="12" spans="1:9" ht="12.75">
      <c r="A12" s="150"/>
      <c r="B12" s="90" t="s">
        <v>146</v>
      </c>
      <c r="C12" s="29"/>
      <c r="D12" s="84" t="e">
        <f ca="1">OFFSET('Investment Details (1)'!$D$24,0,A5)*OFFSET('Investment Details (1)'!$D$18,0,A5)*((DATE(2012,6,30)-'Investment Details (1)'!$C$5)/365)</f>
        <v>#VALUE!</v>
      </c>
      <c r="E12" s="84" t="e">
        <f>(VLOOKUP(B6,'SFI details (0)'!$A$8:$AN$46,31,FALSE))*$C$6</f>
        <v>#N/A</v>
      </c>
      <c r="F12" s="84" t="e">
        <f>(VLOOKUP(B6,'SFI details (0)'!$A$8:$AN$46,32,FALSE))*$C$6</f>
        <v>#N/A</v>
      </c>
      <c r="G12" s="84" t="e">
        <f>(VLOOKUP(B6,'SFI details (0)'!$A$8:$AN$46,33,FALSE))*$C$6</f>
        <v>#N/A</v>
      </c>
      <c r="H12" s="84" t="e">
        <f>(VLOOKUP(B6,'SFI details (0)'!$A$8:$AN$46,34,FALSE))*$C$6</f>
        <v>#N/A</v>
      </c>
      <c r="I12" s="124" t="e">
        <f>D12+E12+F12+G12+H12</f>
        <v>#VALUE!</v>
      </c>
    </row>
    <row r="13" spans="1:9" ht="12.75">
      <c r="A13" s="150"/>
      <c r="B13" s="90" t="s">
        <v>148</v>
      </c>
      <c r="C13" s="29"/>
      <c r="D13" s="84" t="e">
        <f ca="1">OFFSET('Investment Details (1)'!$D$25,0,A5)+OFFSET('Investment Details (1)'!$D$26,0,A5)-'Tax summary (2)'!D12</f>
        <v>#VALUE!</v>
      </c>
      <c r="E13" s="84">
        <v>0</v>
      </c>
      <c r="F13" s="84">
        <v>0</v>
      </c>
      <c r="G13" s="84">
        <v>0</v>
      </c>
      <c r="H13" s="84">
        <v>0</v>
      </c>
      <c r="I13" s="124" t="e">
        <f>D13</f>
        <v>#VALUE!</v>
      </c>
    </row>
    <row r="14" spans="1:9" ht="12.75">
      <c r="A14" s="150"/>
      <c r="B14" s="90" t="s">
        <v>147</v>
      </c>
      <c r="C14" s="29"/>
      <c r="D14" s="85" t="e">
        <f ca="1">(OFFSET('Investment Details (1)'!$D$27,0,A5)/(DATE(2016,6,30)-'Investment Details (1)'!$C$5)*((DATE(2012,6,30)-'Investment Details (1)'!$C$5)))</f>
        <v>#VALUE!</v>
      </c>
      <c r="E14" s="84" t="e">
        <f ca="1">(OFFSET('Investment Details (1)'!$D$27,0,A5)/(DATE(2016,6,30)-'Investment Details (1)'!$C$5))*((DATE(2013,6,30)-DATE(2012,6,30)))</f>
        <v>#VALUE!</v>
      </c>
      <c r="F14" s="84" t="e">
        <f ca="1">(OFFSET('Investment Details (1)'!$D$27,0,A5)/(DATE(2016,6,30)-'Investment Details (1)'!$C$5))*((DATE(2014,6,30)-DATE(2013,6,30)))</f>
        <v>#VALUE!</v>
      </c>
      <c r="G14" s="84" t="e">
        <f ca="1">(OFFSET('Investment Details (1)'!$D$27,0,A5)/(DATE(2016,6,30)-'Investment Details (1)'!$C$5))*((DATE(2015,6,30)-DATE(2014,6,30)))</f>
        <v>#VALUE!</v>
      </c>
      <c r="H14" s="84" t="e">
        <f ca="1">(OFFSET('Investment Details (1)'!$D$27,0,A5)/(DATE(2016,6,30)-'Investment Details (1)'!$C$5))*((DATE(2016,6,30)-DATE(2015,6,30)))</f>
        <v>#VALUE!</v>
      </c>
      <c r="I14" s="124" t="e">
        <f>D14+E14+F14+G14+H14</f>
        <v>#VALUE!</v>
      </c>
    </row>
    <row r="15" spans="1:9" ht="13.5" thickBot="1">
      <c r="A15" s="150"/>
      <c r="B15" s="118" t="s">
        <v>183</v>
      </c>
      <c r="C15" s="121"/>
      <c r="D15" s="122" t="e">
        <f>D12+D14</f>
        <v>#VALUE!</v>
      </c>
      <c r="E15" s="122" t="e">
        <f>E12+E13+E14</f>
        <v>#N/A</v>
      </c>
      <c r="F15" s="122" t="e">
        <f>F12+F13+F14</f>
        <v>#N/A</v>
      </c>
      <c r="G15" s="122" t="e">
        <f>G12+G13+G14</f>
        <v>#N/A</v>
      </c>
      <c r="H15" s="122" t="e">
        <f>H12+H13+H14</f>
        <v>#N/A</v>
      </c>
      <c r="I15" s="127" t="e">
        <f>I12+I13+I14</f>
        <v>#VALUE!</v>
      </c>
    </row>
    <row r="16" spans="1:9" ht="12.75">
      <c r="A16" s="150"/>
      <c r="B16" s="91" t="s">
        <v>164</v>
      </c>
      <c r="C16" s="25"/>
      <c r="D16" s="83"/>
      <c r="E16" s="83"/>
      <c r="F16" s="83"/>
      <c r="G16" s="83"/>
      <c r="H16" s="83"/>
      <c r="I16" s="126"/>
    </row>
    <row r="17" spans="1:9" ht="12.75">
      <c r="A17" s="150"/>
      <c r="B17" s="90" t="s">
        <v>164</v>
      </c>
      <c r="C17" s="29"/>
      <c r="D17" s="84" t="e">
        <f ca="1">MAX(0,((D10-D15)*OFFSET('Investment Details (1)'!$D$15,0,A5)))</f>
        <v>#N/A</v>
      </c>
      <c r="E17" s="84" t="e">
        <f ca="1">MAX(0,((E10-E15)*OFFSET('Investment Details (1)'!$D$15,0,A5)))</f>
        <v>#N/A</v>
      </c>
      <c r="F17" s="84" t="e">
        <f ca="1">MAX(0,((F10-F15)*(OFFSET('Investment Details (1)'!$D$15,0,A5))))</f>
        <v>#N/A</v>
      </c>
      <c r="G17" s="84" t="e">
        <f ca="1">MAX(0,((G10-G15)*(OFFSET('Investment Details (1)'!$D$15,0,A5))))</f>
        <v>#N/A</v>
      </c>
      <c r="H17" s="84" t="e">
        <f ca="1">MAX(0,(H10-H15)*(OFFSET('Investment Details (1)'!$D$15,0,A5)))</f>
        <v>#N/A</v>
      </c>
      <c r="I17" s="124" t="e">
        <f>D17+E17+F17+G17+H17</f>
        <v>#N/A</v>
      </c>
    </row>
    <row r="18" spans="1:9" ht="12.75">
      <c r="A18" s="150"/>
      <c r="B18" s="90" t="s">
        <v>181</v>
      </c>
      <c r="C18" s="29"/>
      <c r="D18" s="84" t="e">
        <f>D9</f>
        <v>#N/A</v>
      </c>
      <c r="E18" s="84" t="e">
        <f>E9</f>
        <v>#N/A</v>
      </c>
      <c r="F18" s="84" t="e">
        <f>F9</f>
        <v>#N/A</v>
      </c>
      <c r="G18" s="84" t="e">
        <f>G9</f>
        <v>#N/A</v>
      </c>
      <c r="H18" s="84" t="e">
        <f>H9</f>
        <v>#N/A</v>
      </c>
      <c r="I18" s="124" t="e">
        <f>D18+E18+F18+G18+H18</f>
        <v>#N/A</v>
      </c>
    </row>
    <row r="19" spans="1:9" ht="13.5" thickBot="1">
      <c r="A19" s="150"/>
      <c r="B19" s="118" t="s">
        <v>184</v>
      </c>
      <c r="C19" s="119"/>
      <c r="D19" s="122" t="e">
        <f>D18-D17</f>
        <v>#N/A</v>
      </c>
      <c r="E19" s="122" t="e">
        <f>E18-E17</f>
        <v>#N/A</v>
      </c>
      <c r="F19" s="122" t="e">
        <f>F18-F17</f>
        <v>#N/A</v>
      </c>
      <c r="G19" s="122" t="e">
        <f>G18-G17</f>
        <v>#N/A</v>
      </c>
      <c r="H19" s="122" t="e">
        <f>H18-H17</f>
        <v>#N/A</v>
      </c>
      <c r="I19" s="127" t="e">
        <f>D19+E19+F19+G19+H19</f>
        <v>#N/A</v>
      </c>
    </row>
    <row r="20" spans="1:9" ht="12.75">
      <c r="A20" s="150"/>
      <c r="B20" s="91" t="s">
        <v>182</v>
      </c>
      <c r="C20" s="25"/>
      <c r="D20" s="83"/>
      <c r="E20" s="83"/>
      <c r="F20" s="83"/>
      <c r="G20" s="83"/>
      <c r="H20" s="83"/>
      <c r="I20" s="126"/>
    </row>
    <row r="21" spans="1:9" ht="12.75">
      <c r="A21" s="150"/>
      <c r="B21" s="90" t="s">
        <v>186</v>
      </c>
      <c r="C21" s="29"/>
      <c r="D21" s="84" t="e">
        <f>D8-D15-D13</f>
        <v>#N/A</v>
      </c>
      <c r="E21" s="84" t="e">
        <f>E8-E15</f>
        <v>#N/A</v>
      </c>
      <c r="F21" s="84" t="e">
        <f>F8-F15</f>
        <v>#N/A</v>
      </c>
      <c r="G21" s="84" t="e">
        <f>G8-G15</f>
        <v>#N/A</v>
      </c>
      <c r="H21" s="84" t="e">
        <f>H8-H15</f>
        <v>#N/A</v>
      </c>
      <c r="I21" s="124" t="e">
        <f>D21+E21+F21+G21+H21</f>
        <v>#N/A</v>
      </c>
    </row>
    <row r="22" spans="1:9" ht="12.75">
      <c r="A22" s="150"/>
      <c r="B22" s="90" t="s">
        <v>184</v>
      </c>
      <c r="C22" s="29"/>
      <c r="D22" s="84" t="e">
        <f>D19</f>
        <v>#N/A</v>
      </c>
      <c r="E22" s="84" t="e">
        <f>E19</f>
        <v>#N/A</v>
      </c>
      <c r="F22" s="84" t="e">
        <f>F19</f>
        <v>#N/A</v>
      </c>
      <c r="G22" s="84" t="e">
        <f>G19</f>
        <v>#N/A</v>
      </c>
      <c r="H22" s="84" t="e">
        <f>H19</f>
        <v>#N/A</v>
      </c>
      <c r="I22" s="124" t="e">
        <f>D22+E22+F22+G22+H22</f>
        <v>#N/A</v>
      </c>
    </row>
    <row r="23" spans="1:9" ht="34.5" thickBot="1">
      <c r="A23" s="150"/>
      <c r="B23" s="139" t="s">
        <v>185</v>
      </c>
      <c r="C23" s="121"/>
      <c r="D23" s="128" t="e">
        <f>(D21+D22)</f>
        <v>#N/A</v>
      </c>
      <c r="E23" s="128" t="e">
        <f>(E21+E22)</f>
        <v>#N/A</v>
      </c>
      <c r="F23" s="128" t="e">
        <f>(F21+F22)</f>
        <v>#N/A</v>
      </c>
      <c r="G23" s="128" t="e">
        <f>(G21+G22)</f>
        <v>#N/A</v>
      </c>
      <c r="H23" s="128" t="e">
        <f>(H21+H22)</f>
        <v>#N/A</v>
      </c>
      <c r="I23" s="129" t="e">
        <f>D23+E23+F23+G23+H23</f>
        <v>#N/A</v>
      </c>
    </row>
  </sheetData>
  <sheetProtection formatCells="0" formatColumns="0" formatRows="0" insertColumns="0" insertRows="0" insertHyperlinks="0" deleteColumns="0" deleteRows="0" selectLockedCells="1" sort="0" autoFilter="0" pivotTables="0"/>
  <conditionalFormatting sqref="E13:H13">
    <cfRule type="expression" priority="7" dxfId="0" stopIfTrue="1">
      <formula>ISERROR(D8)</formula>
    </cfRule>
  </conditionalFormatting>
  <conditionalFormatting sqref="E8:H12 D8:D23 I8:I23 E14:H23">
    <cfRule type="expression" priority="8" dxfId="0" stopIfTrue="1">
      <formula>ISERROR(D8)</formula>
    </cfRule>
  </conditionalFormatting>
  <printOptions/>
  <pageMargins left="0.3937007874015748" right="0.3937007874015748" top="0.3937007874015748" bottom="0.3937007874015748" header="0.5118110236220472" footer="0.5118110236220472"/>
  <pageSetup fitToHeight="0" fitToWidth="1" horizontalDpi="600" verticalDpi="600" orientation="portrait" paperSize="9" scale="80" r:id="rId2"/>
  <ignoredErrors>
    <ignoredError sqref="I13" formula="1"/>
  </ignoredErrors>
  <drawing r:id="rId1"/>
</worksheet>
</file>

<file path=xl/worksheets/sheet6.xml><?xml version="1.0" encoding="utf-8"?>
<worksheet xmlns="http://schemas.openxmlformats.org/spreadsheetml/2006/main" xmlns:r="http://schemas.openxmlformats.org/officeDocument/2006/relationships">
  <sheetPr codeName="Sheet5"/>
  <dimension ref="A1:D35"/>
  <sheetViews>
    <sheetView showGridLines="0" zoomScalePageLayoutView="0" workbookViewId="0" topLeftCell="A1">
      <selection activeCell="A10" sqref="A10"/>
    </sheetView>
  </sheetViews>
  <sheetFormatPr defaultColWidth="9.140625" defaultRowHeight="12.75"/>
  <cols>
    <col min="1" max="1" width="25.57421875" style="0" bestFit="1" customWidth="1"/>
    <col min="2" max="2" width="23.7109375" style="0" bestFit="1" customWidth="1"/>
    <col min="3" max="3" width="21.7109375" style="0" customWidth="1"/>
  </cols>
  <sheetData>
    <row r="1" spans="1:3" ht="13.5" thickBot="1">
      <c r="A1" s="55" t="s">
        <v>149</v>
      </c>
      <c r="B1" s="56"/>
      <c r="C1" s="57"/>
    </row>
    <row r="2" ht="13.5" thickBot="1"/>
    <row r="3" spans="1:3" ht="33.75">
      <c r="A3" s="49" t="s">
        <v>150</v>
      </c>
      <c r="B3" s="50" t="s">
        <v>153</v>
      </c>
      <c r="C3" s="25"/>
    </row>
    <row r="4" spans="1:3" ht="12.75">
      <c r="A4" s="51"/>
      <c r="B4" s="52"/>
      <c r="C4" s="29"/>
    </row>
    <row r="5" spans="1:3" ht="22.5">
      <c r="A5" s="51" t="s">
        <v>151</v>
      </c>
      <c r="B5" s="52" t="s">
        <v>154</v>
      </c>
      <c r="C5" s="29"/>
    </row>
    <row r="6" spans="1:3" ht="12.75">
      <c r="A6" s="51"/>
      <c r="B6" s="52"/>
      <c r="C6" s="29"/>
    </row>
    <row r="7" spans="1:3" ht="34.5" thickBot="1">
      <c r="A7" s="53" t="s">
        <v>152</v>
      </c>
      <c r="B7" s="54" t="s">
        <v>155</v>
      </c>
      <c r="C7" s="30"/>
    </row>
    <row r="9" spans="1:2" ht="13.5" thickBot="1">
      <c r="A9" s="28"/>
      <c r="B9" s="28"/>
    </row>
    <row r="10" spans="1:3" ht="12.75">
      <c r="A10" s="40" t="s">
        <v>130</v>
      </c>
      <c r="B10" s="24"/>
      <c r="C10" s="25"/>
    </row>
    <row r="11" spans="1:3" ht="12.75">
      <c r="A11" s="26"/>
      <c r="B11" s="27"/>
      <c r="C11" s="29"/>
    </row>
    <row r="12" spans="1:3" ht="12.75">
      <c r="A12" s="32" t="s">
        <v>60</v>
      </c>
      <c r="B12" s="27"/>
      <c r="C12" s="29"/>
    </row>
    <row r="13" spans="1:3" ht="12.75">
      <c r="A13" s="32" t="s">
        <v>61</v>
      </c>
      <c r="B13" s="27"/>
      <c r="C13" s="29"/>
    </row>
    <row r="14" spans="1:3" ht="13.5" thickBot="1">
      <c r="A14" s="39" t="s">
        <v>62</v>
      </c>
      <c r="B14" s="48"/>
      <c r="C14" s="30"/>
    </row>
    <row r="15" spans="1:2" ht="13.5" thickBot="1">
      <c r="A15" s="28"/>
      <c r="B15" s="27"/>
    </row>
    <row r="16" spans="1:3" ht="12.75">
      <c r="A16" s="40" t="s">
        <v>131</v>
      </c>
      <c r="B16" s="24"/>
      <c r="C16" s="25"/>
    </row>
    <row r="17" spans="1:3" ht="12.75">
      <c r="A17" s="26"/>
      <c r="B17" s="28"/>
      <c r="C17" s="29"/>
    </row>
    <row r="18" spans="1:3" ht="12.75">
      <c r="A18" s="32" t="s">
        <v>69</v>
      </c>
      <c r="B18" s="27"/>
      <c r="C18" s="29"/>
    </row>
    <row r="19" spans="1:3" ht="12.75">
      <c r="A19" s="32" t="s">
        <v>70</v>
      </c>
      <c r="B19" s="27"/>
      <c r="C19" s="29"/>
    </row>
    <row r="20" spans="1:3" ht="12.75">
      <c r="A20" s="32" t="s">
        <v>71</v>
      </c>
      <c r="B20" s="27"/>
      <c r="C20" s="29"/>
    </row>
    <row r="21" spans="1:3" ht="13.5" thickBot="1">
      <c r="A21" s="39" t="s">
        <v>62</v>
      </c>
      <c r="B21" s="48"/>
      <c r="C21" s="30"/>
    </row>
    <row r="22" spans="1:2" ht="13.5" thickBot="1">
      <c r="A22" s="28"/>
      <c r="B22" s="27"/>
    </row>
    <row r="23" spans="1:3" ht="12.75">
      <c r="A23" s="40" t="s">
        <v>132</v>
      </c>
      <c r="B23" s="24"/>
      <c r="C23" s="25"/>
    </row>
    <row r="24" spans="1:3" ht="12.75">
      <c r="A24" s="26"/>
      <c r="B24" s="28"/>
      <c r="C24" s="29"/>
    </row>
    <row r="25" spans="1:3" ht="12.75">
      <c r="A25" s="32" t="s">
        <v>72</v>
      </c>
      <c r="B25" s="27"/>
      <c r="C25" s="29"/>
    </row>
    <row r="26" spans="1:3" ht="12.75">
      <c r="A26" s="32" t="s">
        <v>73</v>
      </c>
      <c r="B26" s="27"/>
      <c r="C26" s="29"/>
    </row>
    <row r="27" spans="1:3" ht="12.75">
      <c r="A27" s="32" t="s">
        <v>164</v>
      </c>
      <c r="B27" s="27"/>
      <c r="C27" s="29"/>
    </row>
    <row r="28" spans="1:3" ht="12.75">
      <c r="A28" s="32" t="s">
        <v>165</v>
      </c>
      <c r="B28" s="27"/>
      <c r="C28" s="29"/>
    </row>
    <row r="29" spans="1:3" ht="12.75">
      <c r="A29" s="32"/>
      <c r="B29" s="27"/>
      <c r="C29" s="29"/>
    </row>
    <row r="30" spans="1:3" ht="13.5" thickBot="1">
      <c r="A30" s="39" t="s">
        <v>74</v>
      </c>
      <c r="B30" s="48"/>
      <c r="C30" s="30"/>
    </row>
    <row r="31" ht="13.5" thickBot="1"/>
    <row r="32" spans="1:4" ht="25.5">
      <c r="A32" s="42" t="s">
        <v>143</v>
      </c>
      <c r="B32" s="43" t="s">
        <v>144</v>
      </c>
      <c r="C32" s="44"/>
      <c r="D32" s="28"/>
    </row>
    <row r="33" spans="1:4" ht="12.75">
      <c r="A33" s="26"/>
      <c r="B33" s="38" t="s">
        <v>139</v>
      </c>
      <c r="C33" s="45"/>
      <c r="D33" s="28"/>
    </row>
    <row r="34" spans="1:4" ht="13.5" thickBot="1">
      <c r="A34" s="41"/>
      <c r="B34" s="46" t="s">
        <v>140</v>
      </c>
      <c r="C34" s="47"/>
      <c r="D34" s="28"/>
    </row>
    <row r="35" spans="1:4" ht="12.75">
      <c r="A35" s="28"/>
      <c r="B35" s="38"/>
      <c r="C35" s="33"/>
      <c r="D35" s="2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Westpac Banking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m023456</dc:creator>
  <cp:keywords/>
  <dc:description/>
  <cp:lastModifiedBy>m023456</cp:lastModifiedBy>
  <cp:lastPrinted>2011-08-30T07:42:52Z</cp:lastPrinted>
  <dcterms:created xsi:type="dcterms:W3CDTF">2011-07-27T07:28:05Z</dcterms:created>
  <dcterms:modified xsi:type="dcterms:W3CDTF">2011-08-30T07:48:08Z</dcterms:modified>
  <cp:category/>
  <cp:version/>
  <cp:contentType/>
  <cp:contentStatus/>
</cp:coreProperties>
</file>